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 tabRatio="791" firstSheet="8" activeTab="8"/>
  </bookViews>
  <sheets>
    <sheet name="13-14" sheetId="1" r:id="rId1"/>
    <sheet name="14-15" sheetId="2" r:id="rId2"/>
    <sheet name="15-16" sheetId="3" r:id="rId3"/>
    <sheet name="16-17" sheetId="4" r:id="rId4"/>
    <sheet name="17-18" sheetId="5" r:id="rId5"/>
    <sheet name="18-19" sheetId="11" r:id="rId6"/>
    <sheet name="Catagorised 17 18 Data" sheetId="6" r:id="rId7"/>
    <sheet name="Catagorised 16 17 Data" sheetId="7" r:id="rId8"/>
    <sheet name="Sheet1" sheetId="13" r:id="rId9"/>
  </sheets>
  <definedNames>
    <definedName name="_xlnm._FilterDatabase" localSheetId="0" hidden="1">'13-14'!$B$6:$D$49</definedName>
    <definedName name="_xlnm._FilterDatabase" localSheetId="1" hidden="1">'14-15'!$B$7:$D$53</definedName>
    <definedName name="_xlnm._FilterDatabase" localSheetId="2" hidden="1">'15-16'!$B$7:$D$54</definedName>
    <definedName name="_xlnm._FilterDatabase" localSheetId="3" hidden="1">'16-17'!$B$6:$D$57</definedName>
    <definedName name="_xlnm._FilterDatabase" localSheetId="4" hidden="1">'17-18'!$B$6:$D$52</definedName>
    <definedName name="_xlnm._FilterDatabase" localSheetId="5" hidden="1">'18-19'!$B$6:$D$52</definedName>
    <definedName name="_xlnm.Print_Area" localSheetId="8">Sheet1!$A$5:$D$13</definedName>
  </definedNames>
  <calcPr calcId="124519"/>
</workbook>
</file>

<file path=xl/calcChain.xml><?xml version="1.0" encoding="utf-8"?>
<calcChain xmlns="http://schemas.openxmlformats.org/spreadsheetml/2006/main">
  <c r="C51" i="11"/>
  <c r="C50"/>
  <c r="C46"/>
  <c r="C44"/>
  <c r="C40"/>
  <c r="C38"/>
  <c r="C28"/>
  <c r="C27"/>
  <c r="C24"/>
  <c r="C22"/>
  <c r="C18"/>
  <c r="C14"/>
  <c r="H10"/>
  <c r="C10"/>
  <c r="C9"/>
  <c r="H8"/>
  <c r="C8"/>
  <c r="H7"/>
  <c r="J10" s="1"/>
  <c r="J56" s="1"/>
  <c r="C7"/>
  <c r="E52" s="1"/>
  <c r="C25" i="7"/>
  <c r="G7" s="1"/>
  <c r="G7" i="6"/>
  <c r="G6"/>
  <c r="G6" i="7"/>
  <c r="C42"/>
  <c r="C12"/>
  <c r="C8"/>
  <c r="C40" i="6"/>
  <c r="C23"/>
  <c r="C11"/>
  <c r="C7"/>
  <c r="C51" i="5"/>
  <c r="C46"/>
  <c r="C40"/>
  <c r="C24"/>
  <c r="C22"/>
  <c r="C10"/>
  <c r="H10"/>
  <c r="H8"/>
  <c r="H7"/>
  <c r="J10"/>
  <c r="E52"/>
  <c r="E54" i="11" l="1"/>
  <c r="E56" s="1"/>
  <c r="J56" i="5"/>
  <c r="E54" s="1"/>
  <c r="E56" s="1"/>
  <c r="C50"/>
  <c r="C44"/>
  <c r="C38"/>
  <c r="C28"/>
  <c r="C27"/>
  <c r="C18"/>
  <c r="C14"/>
  <c r="C8"/>
  <c r="C9"/>
  <c r="C7"/>
  <c r="F55" i="4" l="1"/>
  <c r="C54"/>
  <c r="C48"/>
  <c r="C45"/>
  <c r="C42"/>
  <c r="C24"/>
  <c r="C11"/>
  <c r="C8"/>
  <c r="I11"/>
  <c r="I9"/>
  <c r="I7"/>
  <c r="C53"/>
  <c r="C47"/>
  <c r="C40"/>
  <c r="C32"/>
  <c r="C29"/>
  <c r="C28"/>
  <c r="C20"/>
  <c r="C16"/>
  <c r="C9"/>
  <c r="C13"/>
  <c r="C7"/>
  <c r="J11" l="1"/>
  <c r="J59" s="1"/>
  <c r="F57" s="1"/>
  <c r="F59" s="1"/>
  <c r="C53" i="3"/>
  <c r="C49"/>
  <c r="C47"/>
  <c r="C35"/>
  <c r="C25"/>
  <c r="C21"/>
  <c r="C19"/>
  <c r="C11"/>
  <c r="C10"/>
  <c r="J10"/>
  <c r="J58" s="1"/>
  <c r="I8"/>
  <c r="C52"/>
  <c r="C46"/>
  <c r="C41"/>
  <c r="C30"/>
  <c r="C29"/>
  <c r="C17"/>
  <c r="C8"/>
  <c r="F53" i="2"/>
  <c r="C52"/>
  <c r="C51"/>
  <c r="C48"/>
  <c r="C41"/>
  <c r="C23"/>
  <c r="C11"/>
  <c r="I12"/>
  <c r="I8"/>
  <c r="I10"/>
  <c r="C46"/>
  <c r="C44"/>
  <c r="C39"/>
  <c r="C38"/>
  <c r="C36"/>
  <c r="C28"/>
  <c r="C27"/>
  <c r="C19"/>
  <c r="C16"/>
  <c r="C10"/>
  <c r="C13"/>
  <c r="F54" i="3" l="1"/>
  <c r="J13" i="2"/>
  <c r="J57" s="1"/>
  <c r="F55" s="1"/>
  <c r="F57" s="1"/>
  <c r="C48" i="1"/>
  <c r="C47"/>
  <c r="C43"/>
  <c r="C44"/>
  <c r="C39"/>
  <c r="C20"/>
  <c r="C10"/>
  <c r="C8"/>
  <c r="I11"/>
  <c r="I10"/>
  <c r="I8"/>
  <c r="C7"/>
  <c r="C9"/>
  <c r="C29"/>
  <c r="C27"/>
  <c r="C34"/>
  <c r="F56" i="3" l="1"/>
  <c r="F58" s="1"/>
  <c r="F49" i="1"/>
  <c r="J11"/>
  <c r="J53" s="1"/>
  <c r="F51" l="1"/>
  <c r="F53" s="1"/>
</calcChain>
</file>

<file path=xl/sharedStrings.xml><?xml version="1.0" encoding="utf-8"?>
<sst xmlns="http://schemas.openxmlformats.org/spreadsheetml/2006/main" count="711" uniqueCount="101">
  <si>
    <t>Telephone Expenses</t>
  </si>
  <si>
    <t>Fees Collection</t>
  </si>
  <si>
    <t>Application Fees</t>
  </si>
  <si>
    <t>Bank Interest</t>
  </si>
  <si>
    <t>Discount Received A/c</t>
  </si>
  <si>
    <t>Advertisement &amp; Publicity</t>
  </si>
  <si>
    <t>Fees &amp; Contributions</t>
  </si>
  <si>
    <t>Affiliation Fees</t>
  </si>
  <si>
    <t>Miscellaneous Income</t>
  </si>
  <si>
    <t>Bank Charges</t>
  </si>
  <si>
    <t>Computer Consumables</t>
  </si>
  <si>
    <t>Conveyance Expenses</t>
  </si>
  <si>
    <t>Convocation Fees A/c</t>
  </si>
  <si>
    <t>Courier Charges</t>
  </si>
  <si>
    <t>Electricity &amp; Maintenance A/c</t>
  </si>
  <si>
    <t>ESI -EXPENSES</t>
  </si>
  <si>
    <t>Examination Fees</t>
  </si>
  <si>
    <t>Functions &amp; Celebrations</t>
  </si>
  <si>
    <t>Garden Maintenance A/c</t>
  </si>
  <si>
    <t>General Expenses</t>
  </si>
  <si>
    <t>Generator Maintenance</t>
  </si>
  <si>
    <t>Gifts &amp; Momentoes</t>
  </si>
  <si>
    <t>Honorarium A/c</t>
  </si>
  <si>
    <t>House Keeping &amp; Maintenance</t>
  </si>
  <si>
    <t>Internet Charges</t>
  </si>
  <si>
    <t>Laboratory Consumables</t>
  </si>
  <si>
    <t>Medical Expenses</t>
  </si>
  <si>
    <t>News Paper &amp; Periodicals</t>
  </si>
  <si>
    <t>NSS A/C</t>
  </si>
  <si>
    <t>Office Expenses</t>
  </si>
  <si>
    <t>Pooja Expenses</t>
  </si>
  <si>
    <t>Postage  &amp; Telegram</t>
  </si>
  <si>
    <t>Printing &amp; Stationery</t>
  </si>
  <si>
    <t>Profession Tax</t>
  </si>
  <si>
    <t>Provident Fund</t>
  </si>
  <si>
    <t>Remuneration A/c</t>
  </si>
  <si>
    <t>Rent A/c</t>
  </si>
  <si>
    <t>Repair &amp; Maintenance Expenses</t>
  </si>
  <si>
    <t>Salaries</t>
  </si>
  <si>
    <t>Scholarship</t>
  </si>
  <si>
    <t>Security Expenses</t>
  </si>
  <si>
    <t>Sports Expenses</t>
  </si>
  <si>
    <t>Staff Welfare Expenses</t>
  </si>
  <si>
    <t>Students Welfare Account</t>
  </si>
  <si>
    <t>Student Training Programme</t>
  </si>
  <si>
    <t>Subscriptions</t>
  </si>
  <si>
    <t>Vehicle Maintenance</t>
  </si>
  <si>
    <t>Water Charges</t>
  </si>
  <si>
    <t>Total</t>
  </si>
  <si>
    <t>AMOUNT</t>
  </si>
  <si>
    <t>SRI BHAGAWAN MAHAVEER JAIN COLLEGE - KGF</t>
  </si>
  <si>
    <t>Income &amp; Expenditure for the period of 01.04.2013 to 31.03.2014</t>
  </si>
  <si>
    <t>EXPENDITURE</t>
  </si>
  <si>
    <t>INCOME</t>
  </si>
  <si>
    <t>Building Tax</t>
  </si>
  <si>
    <t>Tours &amp; Travelling Expenses</t>
  </si>
  <si>
    <t>NET PROFIT</t>
  </si>
  <si>
    <t>Geetha Road, Robertsonpet, KGF, 563122.</t>
  </si>
  <si>
    <t>Fees Refund A/c</t>
  </si>
  <si>
    <t>Consultancy Account</t>
  </si>
  <si>
    <t>E S I</t>
  </si>
  <si>
    <t>Labour Charges</t>
  </si>
  <si>
    <t>Staff Insurance</t>
  </si>
  <si>
    <t xml:space="preserve">Admission Fees </t>
  </si>
  <si>
    <t>Admission Fees</t>
  </si>
  <si>
    <t>Repair &amp; Maintenance</t>
  </si>
  <si>
    <t>House Keeping Maintenance</t>
  </si>
  <si>
    <t xml:space="preserve">Student Welfare </t>
  </si>
  <si>
    <t>Income &amp; Expenditure for the period of 01.04.2014 to 31.03.2015</t>
  </si>
  <si>
    <t>Annual Maintenance Contract Charges</t>
  </si>
  <si>
    <t>Electricity Charges</t>
  </si>
  <si>
    <t>Income &amp; Expenditure for the period of 01.04.2015 to 31.03.2016</t>
  </si>
  <si>
    <t>Student Welfare</t>
  </si>
  <si>
    <t>Examination Account</t>
  </si>
  <si>
    <t>GST</t>
  </si>
  <si>
    <t>RESEARCH</t>
  </si>
  <si>
    <t>Income &amp; Expenditure for the period of 01.04.2016 to 31.03.2017</t>
  </si>
  <si>
    <t xml:space="preserve">Application Fees </t>
  </si>
  <si>
    <t>Examination Fees A/c</t>
  </si>
  <si>
    <t>Income &amp; Expenditure for the period of 01.04.2017 to 31.03.2018</t>
  </si>
  <si>
    <t>Others</t>
  </si>
  <si>
    <t>ICT</t>
  </si>
  <si>
    <t>Equipments</t>
  </si>
  <si>
    <t>Maintainence</t>
  </si>
  <si>
    <t>Equipment</t>
  </si>
  <si>
    <t>Maintenance</t>
  </si>
  <si>
    <t>Remarks</t>
  </si>
  <si>
    <t>Infrastructure &amp; Maintenance</t>
  </si>
  <si>
    <t>Academic</t>
  </si>
  <si>
    <t>Academics</t>
  </si>
  <si>
    <t>R 2</t>
  </si>
  <si>
    <t>Year</t>
  </si>
  <si>
    <t>Expenditure on maintenance of academic facilities (excluding salary for human resources) (INR in lakhs)</t>
  </si>
  <si>
    <t>Expenditure on maintenance of physical facilities (excluding salary for human resources) (INR in lakhs)</t>
  </si>
  <si>
    <t> 2014-15</t>
  </si>
  <si>
    <t> 2015-16</t>
  </si>
  <si>
    <t> 2016-17</t>
  </si>
  <si>
    <t> 2017-18</t>
  </si>
  <si>
    <t>2018-19</t>
  </si>
  <si>
    <t>4.4.1 AVERAGE EXPENDITURE FOR MAINTENANCE (10 Marks)</t>
  </si>
  <si>
    <t>Sri Bhagawan Mahaveer Jain First Grade College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</si>
</sst>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&quot;&quot;0"/>
    <numFmt numFmtId="165" formatCode="&quot;&quot;0.00"/>
    <numFmt numFmtId="166" formatCode="_(* #,##0_);_(* \(#,##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166" fontId="4" fillId="0" borderId="1" xfId="1" applyNumberFormat="1" applyFont="1" applyBorder="1" applyAlignment="1">
      <alignment horizontal="center" vertical="center" wrapText="1"/>
    </xf>
    <xf numFmtId="166" fontId="0" fillId="0" borderId="0" xfId="1" applyNumberFormat="1" applyFont="1" applyAlignment="1"/>
    <xf numFmtId="0" fontId="0" fillId="0" borderId="0" xfId="0" applyFont="1" applyAlignment="1"/>
    <xf numFmtId="166" fontId="1" fillId="0" borderId="0" xfId="1" applyNumberFormat="1" applyFont="1" applyAlignment="1"/>
    <xf numFmtId="49" fontId="6" fillId="0" borderId="1" xfId="0" applyNumberFormat="1" applyFont="1" applyBorder="1" applyAlignment="1">
      <alignment horizontal="left"/>
    </xf>
    <xf numFmtId="166" fontId="6" fillId="0" borderId="1" xfId="1" applyNumberFormat="1" applyFont="1" applyBorder="1" applyAlignment="1">
      <alignment horizontal="right"/>
    </xf>
    <xf numFmtId="166" fontId="4" fillId="0" borderId="1" xfId="1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49" fontId="6" fillId="0" borderId="1" xfId="0" applyNumberFormat="1" applyFont="1" applyFill="1" applyBorder="1" applyAlignment="1">
      <alignment horizontal="left"/>
    </xf>
    <xf numFmtId="166" fontId="1" fillId="0" borderId="1" xfId="1" applyNumberFormat="1" applyFont="1" applyBorder="1" applyAlignment="1"/>
    <xf numFmtId="0" fontId="0" fillId="0" borderId="1" xfId="0" applyFont="1" applyBorder="1" applyAlignment="1"/>
    <xf numFmtId="49" fontId="4" fillId="0" borderId="1" xfId="0" applyNumberFormat="1" applyFont="1" applyBorder="1" applyAlignment="1"/>
    <xf numFmtId="0" fontId="3" fillId="0" borderId="1" xfId="0" applyFont="1" applyBorder="1" applyAlignment="1"/>
    <xf numFmtId="166" fontId="3" fillId="0" borderId="1" xfId="1" applyNumberFormat="1" applyFont="1" applyBorder="1" applyAlignment="1"/>
    <xf numFmtId="166" fontId="4" fillId="0" borderId="5" xfId="1" applyNumberFormat="1" applyFont="1" applyBorder="1" applyAlignment="1">
      <alignment horizontal="right"/>
    </xf>
    <xf numFmtId="165" fontId="4" fillId="0" borderId="5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left"/>
    </xf>
    <xf numFmtId="166" fontId="0" fillId="0" borderId="1" xfId="1" applyNumberFormat="1" applyFont="1" applyBorder="1" applyAlignment="1"/>
    <xf numFmtId="49" fontId="6" fillId="0" borderId="1" xfId="0" applyNumberFormat="1" applyFont="1" applyBorder="1" applyAlignment="1"/>
    <xf numFmtId="49" fontId="4" fillId="0" borderId="5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43" fontId="0" fillId="0" borderId="0" xfId="1" applyFont="1"/>
    <xf numFmtId="43" fontId="6" fillId="0" borderId="1" xfId="1" applyFont="1" applyBorder="1" applyAlignment="1">
      <alignment horizontal="right"/>
    </xf>
    <xf numFmtId="43" fontId="7" fillId="0" borderId="0" xfId="1" applyFont="1"/>
    <xf numFmtId="49" fontId="6" fillId="0" borderId="0" xfId="0" applyNumberFormat="1" applyFont="1" applyBorder="1" applyAlignment="1">
      <alignment horizontal="left"/>
    </xf>
    <xf numFmtId="166" fontId="6" fillId="0" borderId="0" xfId="1" applyNumberFormat="1" applyFont="1" applyBorder="1" applyAlignment="1">
      <alignment horizontal="right"/>
    </xf>
    <xf numFmtId="43" fontId="4" fillId="0" borderId="0" xfId="1" applyFont="1" applyBorder="1" applyAlignment="1">
      <alignment horizontal="right"/>
    </xf>
    <xf numFmtId="0" fontId="0" fillId="0" borderId="0" xfId="0" applyBorder="1"/>
    <xf numFmtId="43" fontId="0" fillId="0" borderId="0" xfId="0" applyNumberFormat="1"/>
    <xf numFmtId="43" fontId="7" fillId="0" borderId="0" xfId="0" applyNumberFormat="1" applyFont="1"/>
    <xf numFmtId="166" fontId="0" fillId="0" borderId="0" xfId="0" applyNumberFormat="1" applyBorder="1"/>
    <xf numFmtId="0" fontId="7" fillId="0" borderId="0" xfId="0" applyFont="1"/>
    <xf numFmtId="49" fontId="4" fillId="0" borderId="5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166" fontId="4" fillId="0" borderId="0" xfId="1" applyNumberFormat="1" applyFont="1" applyBorder="1" applyAlignment="1">
      <alignment horizontal="right"/>
    </xf>
    <xf numFmtId="166" fontId="1" fillId="0" borderId="0" xfId="1" applyNumberFormat="1" applyFont="1" applyBorder="1" applyAlignment="1"/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vertical="top" wrapText="1"/>
    </xf>
    <xf numFmtId="49" fontId="4" fillId="0" borderId="5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10" fillId="4" borderId="8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left"/>
    </xf>
    <xf numFmtId="0" fontId="10" fillId="4" borderId="10" xfId="0" applyFont="1" applyFill="1" applyBorder="1" applyAlignment="1">
      <alignment horizontal="left"/>
    </xf>
    <xf numFmtId="0" fontId="1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B2:J54"/>
  <sheetViews>
    <sheetView topLeftCell="B1" zoomScale="140" zoomScaleNormal="140" workbookViewId="0">
      <selection activeCell="B6" sqref="B6:C48"/>
    </sheetView>
  </sheetViews>
  <sheetFormatPr defaultRowHeight="15"/>
  <cols>
    <col min="1" max="1" width="9.140625" style="6"/>
    <col min="2" max="2" width="27.140625" style="6" bestFit="1" customWidth="1"/>
    <col min="3" max="3" width="14.140625" style="7" bestFit="1" customWidth="1"/>
    <col min="4" max="5" width="14.140625" style="7" customWidth="1"/>
    <col min="6" max="6" width="13.5703125" style="7" bestFit="1" customWidth="1"/>
    <col min="7" max="7" width="2.5703125" style="6" customWidth="1"/>
    <col min="8" max="8" width="20.7109375" style="6" bestFit="1" customWidth="1"/>
    <col min="9" max="9" width="14.140625" style="7" bestFit="1" customWidth="1"/>
    <col min="10" max="10" width="13.5703125" style="7" bestFit="1" customWidth="1"/>
    <col min="11" max="16384" width="9.140625" style="6"/>
  </cols>
  <sheetData>
    <row r="2" spans="2:10" ht="20.100000000000001" customHeight="1">
      <c r="B2" s="45" t="s">
        <v>50</v>
      </c>
      <c r="C2" s="45"/>
      <c r="D2" s="45"/>
      <c r="E2" s="45"/>
      <c r="F2" s="45"/>
      <c r="G2" s="45"/>
      <c r="H2" s="45"/>
      <c r="I2" s="45"/>
      <c r="J2" s="45"/>
    </row>
    <row r="3" spans="2:10" ht="20.100000000000001" customHeight="1">
      <c r="B3" s="45" t="s">
        <v>57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51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9"/>
      <c r="C5" s="49"/>
      <c r="D5" s="49"/>
      <c r="E5" s="49"/>
      <c r="F5" s="49"/>
      <c r="G5" s="49"/>
      <c r="H5" s="49"/>
      <c r="I5" s="49"/>
      <c r="J5" s="49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90</v>
      </c>
      <c r="F6" s="4" t="s">
        <v>49</v>
      </c>
      <c r="G6" s="3"/>
      <c r="H6" s="1" t="s">
        <v>53</v>
      </c>
      <c r="I6" s="4" t="s">
        <v>49</v>
      </c>
      <c r="J6" s="4" t="s">
        <v>49</v>
      </c>
    </row>
    <row r="7" spans="2:10" hidden="1">
      <c r="B7" s="8" t="s">
        <v>64</v>
      </c>
      <c r="C7" s="9">
        <f>503335+55610</f>
        <v>558945</v>
      </c>
      <c r="D7" s="38" t="s">
        <v>88</v>
      </c>
      <c r="G7" s="46"/>
      <c r="H7" s="8" t="s">
        <v>2</v>
      </c>
      <c r="I7" s="9">
        <v>10458</v>
      </c>
      <c r="J7" s="10"/>
    </row>
    <row r="8" spans="2:10" hidden="1">
      <c r="B8" s="8" t="s">
        <v>5</v>
      </c>
      <c r="C8" s="9">
        <f>252844+130500</f>
        <v>383344</v>
      </c>
      <c r="D8" s="38" t="s">
        <v>88</v>
      </c>
      <c r="G8" s="47"/>
      <c r="H8" s="8" t="s">
        <v>3</v>
      </c>
      <c r="I8" s="9">
        <f>8055+52888</f>
        <v>60943</v>
      </c>
      <c r="J8" s="10"/>
    </row>
    <row r="9" spans="2:10" hidden="1">
      <c r="B9" s="8" t="s">
        <v>7</v>
      </c>
      <c r="C9" s="9">
        <f>404671+12000</f>
        <v>416671</v>
      </c>
      <c r="D9" s="38" t="s">
        <v>88</v>
      </c>
      <c r="G9" s="47"/>
      <c r="H9" s="8" t="s">
        <v>4</v>
      </c>
      <c r="I9" s="9">
        <v>1915</v>
      </c>
      <c r="J9" s="10"/>
    </row>
    <row r="10" spans="2:10" hidden="1">
      <c r="B10" s="8" t="s">
        <v>9</v>
      </c>
      <c r="C10" s="9">
        <f>1299.84+316799.67</f>
        <v>318099.51</v>
      </c>
      <c r="D10" s="38"/>
      <c r="G10" s="47"/>
      <c r="H10" s="8" t="s">
        <v>6</v>
      </c>
      <c r="I10" s="9">
        <f>873015+18159815+15162274</f>
        <v>34195104</v>
      </c>
      <c r="J10" s="10"/>
    </row>
    <row r="11" spans="2:10" hidden="1">
      <c r="B11" s="12" t="s">
        <v>54</v>
      </c>
      <c r="C11" s="13">
        <v>288379</v>
      </c>
      <c r="D11" s="39"/>
      <c r="G11" s="47"/>
      <c r="H11" s="8" t="s">
        <v>8</v>
      </c>
      <c r="I11" s="9">
        <f>1016376+413160</f>
        <v>1429536</v>
      </c>
      <c r="J11" s="10">
        <f>SUM(I7:I11)</f>
        <v>35697956</v>
      </c>
    </row>
    <row r="12" spans="2:10">
      <c r="B12" s="8" t="s">
        <v>10</v>
      </c>
      <c r="C12" s="9">
        <v>52087</v>
      </c>
      <c r="D12" s="38" t="s">
        <v>83</v>
      </c>
      <c r="G12" s="47"/>
      <c r="H12" s="14"/>
      <c r="I12" s="13"/>
      <c r="J12" s="13"/>
    </row>
    <row r="13" spans="2:10" hidden="1">
      <c r="B13" s="8" t="s">
        <v>11</v>
      </c>
      <c r="C13" s="9">
        <v>69738</v>
      </c>
      <c r="D13" s="38" t="s">
        <v>88</v>
      </c>
      <c r="G13" s="47"/>
      <c r="H13" s="15"/>
      <c r="I13" s="9"/>
      <c r="J13" s="10"/>
    </row>
    <row r="14" spans="2:10" hidden="1">
      <c r="B14" s="8" t="s">
        <v>12</v>
      </c>
      <c r="C14" s="9">
        <v>95272</v>
      </c>
      <c r="D14" s="38"/>
      <c r="G14" s="47"/>
      <c r="H14" s="16"/>
      <c r="I14" s="17"/>
      <c r="J14" s="17"/>
    </row>
    <row r="15" spans="2:10" hidden="1">
      <c r="B15" s="8" t="s">
        <v>13</v>
      </c>
      <c r="C15" s="9">
        <v>14516</v>
      </c>
      <c r="D15" s="38"/>
      <c r="G15" s="47"/>
      <c r="H15" s="16"/>
      <c r="I15" s="17"/>
      <c r="J15" s="17"/>
    </row>
    <row r="16" spans="2:10" hidden="1">
      <c r="B16" s="8" t="s">
        <v>14</v>
      </c>
      <c r="C16" s="9">
        <v>739346</v>
      </c>
      <c r="D16" s="38" t="s">
        <v>88</v>
      </c>
      <c r="G16" s="47"/>
      <c r="H16" s="16"/>
      <c r="I16" s="17"/>
      <c r="J16" s="17"/>
    </row>
    <row r="17" spans="2:10" hidden="1">
      <c r="B17" s="8" t="s">
        <v>15</v>
      </c>
      <c r="C17" s="9">
        <v>548043</v>
      </c>
      <c r="D17" s="38" t="s">
        <v>88</v>
      </c>
      <c r="G17" s="47"/>
      <c r="H17" s="16"/>
      <c r="I17" s="17"/>
      <c r="J17" s="17"/>
    </row>
    <row r="18" spans="2:10" hidden="1">
      <c r="B18" s="8" t="s">
        <v>16</v>
      </c>
      <c r="C18" s="9">
        <v>205131</v>
      </c>
      <c r="D18" s="38"/>
      <c r="G18" s="47"/>
      <c r="H18" s="16"/>
      <c r="I18" s="17"/>
      <c r="J18" s="17"/>
    </row>
    <row r="19" spans="2:10" hidden="1">
      <c r="B19" s="8" t="s">
        <v>17</v>
      </c>
      <c r="C19" s="9">
        <v>127511</v>
      </c>
      <c r="D19" s="38" t="s">
        <v>88</v>
      </c>
      <c r="G19" s="47"/>
      <c r="H19" s="16"/>
      <c r="I19" s="17"/>
      <c r="J19" s="17"/>
    </row>
    <row r="20" spans="2:10">
      <c r="B20" s="8" t="s">
        <v>18</v>
      </c>
      <c r="C20" s="9">
        <f>53000+180176</f>
        <v>233176</v>
      </c>
      <c r="D20" s="38" t="s">
        <v>83</v>
      </c>
      <c r="G20" s="47"/>
      <c r="H20" s="16"/>
      <c r="I20" s="17"/>
      <c r="J20" s="17"/>
    </row>
    <row r="21" spans="2:10" hidden="1">
      <c r="B21" s="8" t="s">
        <v>19</v>
      </c>
      <c r="C21" s="9">
        <v>176697</v>
      </c>
      <c r="D21" s="38" t="s">
        <v>88</v>
      </c>
      <c r="G21" s="47"/>
      <c r="H21" s="16"/>
      <c r="I21" s="17"/>
      <c r="J21" s="17"/>
    </row>
    <row r="22" spans="2:10" hidden="1">
      <c r="B22" s="8" t="s">
        <v>20</v>
      </c>
      <c r="C22" s="9">
        <v>29383</v>
      </c>
      <c r="D22" s="38"/>
      <c r="G22" s="47"/>
      <c r="H22" s="16"/>
      <c r="I22" s="17"/>
      <c r="J22" s="17"/>
    </row>
    <row r="23" spans="2:10" hidden="1">
      <c r="B23" s="8" t="s">
        <v>21</v>
      </c>
      <c r="C23" s="9">
        <v>99978</v>
      </c>
      <c r="D23" s="38" t="s">
        <v>88</v>
      </c>
      <c r="G23" s="47"/>
      <c r="H23" s="16"/>
      <c r="I23" s="17"/>
      <c r="J23" s="17"/>
    </row>
    <row r="24" spans="2:10" hidden="1">
      <c r="B24" s="8" t="s">
        <v>22</v>
      </c>
      <c r="C24" s="9">
        <v>279742</v>
      </c>
      <c r="D24" s="38" t="s">
        <v>88</v>
      </c>
      <c r="G24" s="47"/>
      <c r="H24" s="16"/>
      <c r="I24" s="17"/>
      <c r="J24" s="17"/>
    </row>
    <row r="25" spans="2:10" hidden="1">
      <c r="B25" s="8" t="s">
        <v>23</v>
      </c>
      <c r="C25" s="9">
        <v>412524</v>
      </c>
      <c r="D25" s="38" t="s">
        <v>88</v>
      </c>
      <c r="G25" s="47"/>
      <c r="H25" s="16"/>
      <c r="I25" s="17"/>
      <c r="J25" s="17"/>
    </row>
    <row r="26" spans="2:10" hidden="1">
      <c r="B26" s="8" t="s">
        <v>24</v>
      </c>
      <c r="C26" s="9">
        <v>200192</v>
      </c>
      <c r="D26" s="38" t="s">
        <v>88</v>
      </c>
      <c r="G26" s="47"/>
      <c r="H26" s="16"/>
      <c r="I26" s="17"/>
      <c r="J26" s="17"/>
    </row>
    <row r="27" spans="2:10" hidden="1">
      <c r="B27" s="8" t="s">
        <v>25</v>
      </c>
      <c r="C27" s="9">
        <f>223254+69992</f>
        <v>293246</v>
      </c>
      <c r="D27" s="38" t="s">
        <v>88</v>
      </c>
      <c r="G27" s="47"/>
      <c r="H27" s="16"/>
      <c r="I27" s="17"/>
      <c r="J27" s="17"/>
    </row>
    <row r="28" spans="2:10" hidden="1">
      <c r="B28" s="8" t="s">
        <v>26</v>
      </c>
      <c r="C28" s="9">
        <v>100468</v>
      </c>
      <c r="D28" s="38"/>
      <c r="G28" s="47"/>
      <c r="H28" s="16"/>
      <c r="I28" s="17"/>
      <c r="J28" s="17"/>
    </row>
    <row r="29" spans="2:10" hidden="1">
      <c r="B29" s="8" t="s">
        <v>27</v>
      </c>
      <c r="C29" s="9">
        <f>61128+14550</f>
        <v>75678</v>
      </c>
      <c r="D29" s="38" t="s">
        <v>88</v>
      </c>
      <c r="G29" s="47"/>
      <c r="H29" s="16"/>
      <c r="I29" s="17"/>
      <c r="J29" s="17"/>
    </row>
    <row r="30" spans="2:10" hidden="1">
      <c r="B30" s="8" t="s">
        <v>28</v>
      </c>
      <c r="C30" s="9">
        <v>30496</v>
      </c>
      <c r="D30" s="38"/>
      <c r="G30" s="47"/>
      <c r="H30" s="16"/>
      <c r="I30" s="17"/>
      <c r="J30" s="17"/>
    </row>
    <row r="31" spans="2:10" hidden="1">
      <c r="B31" s="8" t="s">
        <v>29</v>
      </c>
      <c r="C31" s="9">
        <v>136521</v>
      </c>
      <c r="D31" s="38"/>
      <c r="G31" s="47"/>
      <c r="H31" s="16"/>
      <c r="I31" s="17"/>
      <c r="J31" s="17"/>
    </row>
    <row r="32" spans="2:10" hidden="1">
      <c r="B32" s="8" t="s">
        <v>30</v>
      </c>
      <c r="C32" s="9">
        <v>95730</v>
      </c>
      <c r="D32" s="38" t="s">
        <v>88</v>
      </c>
      <c r="G32" s="47"/>
      <c r="H32" s="16"/>
      <c r="I32" s="17"/>
      <c r="J32" s="17"/>
    </row>
    <row r="33" spans="2:10" hidden="1">
      <c r="B33" s="8" t="s">
        <v>31</v>
      </c>
      <c r="C33" s="9">
        <v>127090</v>
      </c>
      <c r="D33" s="38" t="s">
        <v>88</v>
      </c>
      <c r="G33" s="47"/>
      <c r="H33" s="16"/>
      <c r="I33" s="17"/>
      <c r="J33" s="17"/>
    </row>
    <row r="34" spans="2:10" hidden="1">
      <c r="B34" s="8" t="s">
        <v>32</v>
      </c>
      <c r="C34" s="9">
        <f>589461+42952</f>
        <v>632413</v>
      </c>
      <c r="D34" s="38" t="s">
        <v>88</v>
      </c>
      <c r="G34" s="47"/>
      <c r="H34" s="16"/>
      <c r="I34" s="17"/>
      <c r="J34" s="17"/>
    </row>
    <row r="35" spans="2:10" hidden="1">
      <c r="B35" s="8" t="s">
        <v>33</v>
      </c>
      <c r="C35" s="9">
        <v>2500</v>
      </c>
      <c r="D35" s="38" t="s">
        <v>88</v>
      </c>
      <c r="G35" s="47"/>
      <c r="H35" s="16"/>
      <c r="I35" s="17"/>
      <c r="J35" s="17"/>
    </row>
    <row r="36" spans="2:10" hidden="1">
      <c r="B36" s="8" t="s">
        <v>34</v>
      </c>
      <c r="C36" s="9">
        <v>1066966</v>
      </c>
      <c r="D36" s="38" t="s">
        <v>88</v>
      </c>
      <c r="G36" s="47"/>
      <c r="H36" s="16"/>
      <c r="I36" s="17"/>
      <c r="J36" s="17"/>
    </row>
    <row r="37" spans="2:10" hidden="1">
      <c r="B37" s="8" t="s">
        <v>35</v>
      </c>
      <c r="C37" s="9">
        <v>330381</v>
      </c>
      <c r="D37" s="38" t="s">
        <v>88</v>
      </c>
      <c r="G37" s="47"/>
      <c r="H37" s="16"/>
      <c r="I37" s="17"/>
      <c r="J37" s="17"/>
    </row>
    <row r="38" spans="2:10" hidden="1">
      <c r="B38" s="8" t="s">
        <v>36</v>
      </c>
      <c r="C38" s="9">
        <v>93550</v>
      </c>
      <c r="D38" s="38" t="s">
        <v>88</v>
      </c>
      <c r="G38" s="47"/>
      <c r="H38" s="16"/>
      <c r="I38" s="17"/>
      <c r="J38" s="17"/>
    </row>
    <row r="39" spans="2:10">
      <c r="B39" s="8" t="s">
        <v>37</v>
      </c>
      <c r="C39" s="9">
        <f>270999+11400+11388+28470+19304</f>
        <v>341561</v>
      </c>
      <c r="D39" s="38" t="s">
        <v>83</v>
      </c>
      <c r="G39" s="47"/>
      <c r="H39" s="16"/>
      <c r="I39" s="17"/>
      <c r="J39" s="17"/>
    </row>
    <row r="40" spans="2:10" hidden="1">
      <c r="B40" s="8" t="s">
        <v>38</v>
      </c>
      <c r="C40" s="9">
        <v>16678716</v>
      </c>
      <c r="D40" s="38"/>
      <c r="G40" s="47"/>
      <c r="H40" s="16"/>
      <c r="I40" s="17"/>
      <c r="J40" s="17"/>
    </row>
    <row r="41" spans="2:10" hidden="1">
      <c r="B41" s="8" t="s">
        <v>40</v>
      </c>
      <c r="C41" s="9">
        <v>238081</v>
      </c>
      <c r="D41" s="38" t="s">
        <v>88</v>
      </c>
      <c r="G41" s="47"/>
      <c r="H41" s="16"/>
      <c r="I41" s="17"/>
      <c r="J41" s="17"/>
    </row>
    <row r="42" spans="2:10" hidden="1">
      <c r="B42" s="8" t="s">
        <v>41</v>
      </c>
      <c r="C42" s="9">
        <v>165459</v>
      </c>
      <c r="D42" s="38"/>
      <c r="G42" s="47"/>
      <c r="H42" s="16"/>
      <c r="I42" s="17"/>
      <c r="J42" s="17"/>
    </row>
    <row r="43" spans="2:10" hidden="1">
      <c r="B43" s="8" t="s">
        <v>42</v>
      </c>
      <c r="C43" s="9">
        <f>182251+3568+4000+15825+374433</f>
        <v>580077</v>
      </c>
      <c r="D43" s="38" t="s">
        <v>88</v>
      </c>
      <c r="G43" s="47"/>
      <c r="H43" s="16"/>
      <c r="I43" s="17"/>
      <c r="J43" s="17"/>
    </row>
    <row r="44" spans="2:10" hidden="1">
      <c r="B44" s="8" t="s">
        <v>44</v>
      </c>
      <c r="C44" s="9">
        <f>426014+185704</f>
        <v>611718</v>
      </c>
      <c r="D44" s="38" t="s">
        <v>88</v>
      </c>
      <c r="G44" s="47"/>
      <c r="H44" s="16"/>
      <c r="I44" s="17"/>
      <c r="J44" s="17"/>
    </row>
    <row r="45" spans="2:10" hidden="1">
      <c r="B45" s="8" t="s">
        <v>45</v>
      </c>
      <c r="C45" s="9">
        <v>44305</v>
      </c>
      <c r="D45" s="38" t="s">
        <v>88</v>
      </c>
      <c r="G45" s="47"/>
      <c r="H45" s="16"/>
      <c r="I45" s="17"/>
      <c r="J45" s="17"/>
    </row>
    <row r="46" spans="2:10" hidden="1">
      <c r="B46" s="8" t="s">
        <v>0</v>
      </c>
      <c r="C46" s="9">
        <v>45517</v>
      </c>
      <c r="D46" s="38" t="s">
        <v>88</v>
      </c>
      <c r="G46" s="47"/>
      <c r="H46" s="16"/>
      <c r="I46" s="17"/>
      <c r="J46" s="17"/>
    </row>
    <row r="47" spans="2:10" hidden="1">
      <c r="B47" s="8" t="s">
        <v>55</v>
      </c>
      <c r="C47" s="9">
        <f>2504498+235810+15870</f>
        <v>2756178</v>
      </c>
      <c r="D47" s="38" t="s">
        <v>88</v>
      </c>
      <c r="G47" s="47"/>
      <c r="H47" s="16"/>
      <c r="I47" s="17"/>
      <c r="J47" s="17"/>
    </row>
    <row r="48" spans="2:10">
      <c r="B48" s="8" t="s">
        <v>46</v>
      </c>
      <c r="C48" s="9">
        <f>46947+30883+820807</f>
        <v>898637</v>
      </c>
      <c r="D48" s="38" t="s">
        <v>83</v>
      </c>
      <c r="G48" s="47"/>
      <c r="H48" s="16"/>
      <c r="I48" s="17"/>
      <c r="J48" s="17"/>
    </row>
    <row r="49" spans="2:10" hidden="1">
      <c r="B49" s="8" t="s">
        <v>47</v>
      </c>
      <c r="C49" s="9">
        <v>35850</v>
      </c>
      <c r="D49" s="10" t="s">
        <v>88</v>
      </c>
      <c r="F49" s="10">
        <f>SUM(C7:C49)</f>
        <v>30629912.509999998</v>
      </c>
      <c r="G49" s="47"/>
      <c r="H49" s="16"/>
      <c r="I49" s="17"/>
      <c r="J49" s="17"/>
    </row>
    <row r="50" spans="2:10">
      <c r="B50" s="14"/>
      <c r="C50" s="14"/>
      <c r="D50" s="14"/>
      <c r="E50" s="14"/>
      <c r="F50" s="14"/>
      <c r="G50" s="47"/>
      <c r="H50" s="16"/>
      <c r="I50" s="17"/>
      <c r="J50" s="17"/>
    </row>
    <row r="51" spans="2:10">
      <c r="B51" s="20" t="s">
        <v>56</v>
      </c>
      <c r="C51" s="13"/>
      <c r="D51" s="13"/>
      <c r="E51" s="13"/>
      <c r="F51" s="10">
        <f>J53-F49</f>
        <v>5068043.4900000021</v>
      </c>
      <c r="G51" s="47"/>
      <c r="H51" s="16"/>
      <c r="I51" s="17"/>
      <c r="J51" s="17"/>
    </row>
    <row r="52" spans="2:10">
      <c r="B52" s="14"/>
      <c r="C52" s="13"/>
      <c r="D52" s="13"/>
      <c r="E52" s="13"/>
      <c r="F52" s="10"/>
      <c r="G52" s="48"/>
      <c r="H52" s="16"/>
      <c r="I52" s="17"/>
      <c r="J52" s="17"/>
    </row>
    <row r="53" spans="2:10" ht="15.75" thickBot="1">
      <c r="B53" s="44" t="s">
        <v>48</v>
      </c>
      <c r="C53" s="44"/>
      <c r="D53" s="23"/>
      <c r="E53" s="36"/>
      <c r="F53" s="18">
        <f>SUM(F7:F52)</f>
        <v>35697956</v>
      </c>
      <c r="G53" s="19"/>
      <c r="H53" s="44" t="s">
        <v>48</v>
      </c>
      <c r="I53" s="44"/>
      <c r="J53" s="18">
        <f>SUM(J7:J52)</f>
        <v>35697956</v>
      </c>
    </row>
    <row r="54" spans="2:10" ht="15.75" thickTop="1"/>
  </sheetData>
  <autoFilter ref="B6:D49">
    <filterColumn colId="2">
      <filters>
        <filter val="Maintainence"/>
      </filters>
    </filterColumn>
  </autoFilter>
  <mergeCells count="7">
    <mergeCell ref="B53:C53"/>
    <mergeCell ref="H53:I53"/>
    <mergeCell ref="B3:J3"/>
    <mergeCell ref="G7:G52"/>
    <mergeCell ref="B2:J2"/>
    <mergeCell ref="B4:J4"/>
    <mergeCell ref="B5:J5"/>
  </mergeCells>
  <pageMargins left="0.7" right="0.7" top="0.75" bottom="0.75" header="0.3" footer="0.3"/>
  <pageSetup paperSize="9" orientation="portrait" verticalDpi="144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B3:J58"/>
  <sheetViews>
    <sheetView topLeftCell="B1" zoomScale="150" zoomScaleNormal="150" workbookViewId="0">
      <selection activeCell="B7" sqref="B7:C52"/>
    </sheetView>
  </sheetViews>
  <sheetFormatPr defaultRowHeight="15"/>
  <cols>
    <col min="1" max="1" width="9.140625" style="6"/>
    <col min="2" max="2" width="27.5703125" style="6" bestFit="1" customWidth="1"/>
    <col min="3" max="5" width="13.85546875" style="7" customWidth="1"/>
    <col min="6" max="6" width="13.5703125" style="7" bestFit="1" customWidth="1"/>
    <col min="7" max="7" width="3.42578125" style="6" customWidth="1"/>
    <col min="8" max="8" width="23.7109375" style="6" customWidth="1"/>
    <col min="9" max="9" width="14.140625" style="7" customWidth="1"/>
    <col min="10" max="10" width="14" style="7" customWidth="1"/>
    <col min="11" max="16384" width="9.140625" style="6"/>
  </cols>
  <sheetData>
    <row r="3" spans="2:10" ht="20.100000000000001" customHeight="1">
      <c r="B3" s="45" t="s">
        <v>50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57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5" t="s">
        <v>68</v>
      </c>
      <c r="C5" s="45"/>
      <c r="D5" s="45"/>
      <c r="E5" s="45"/>
      <c r="F5" s="45"/>
      <c r="G5" s="45"/>
      <c r="H5" s="45"/>
      <c r="I5" s="45"/>
      <c r="J5" s="45"/>
    </row>
    <row r="6" spans="2:10" ht="20.100000000000001" customHeight="1">
      <c r="B6" s="49"/>
      <c r="C6" s="49"/>
      <c r="D6" s="49"/>
      <c r="E6" s="49"/>
      <c r="F6" s="49"/>
      <c r="G6" s="49"/>
      <c r="H6" s="49"/>
      <c r="I6" s="49"/>
      <c r="J6" s="49"/>
    </row>
    <row r="7" spans="2:10" ht="20.100000000000001" customHeight="1">
      <c r="B7" s="1" t="s">
        <v>52</v>
      </c>
      <c r="C7" s="4" t="s">
        <v>49</v>
      </c>
      <c r="D7" s="4" t="s">
        <v>86</v>
      </c>
      <c r="E7" s="4"/>
      <c r="F7" s="4" t="s">
        <v>49</v>
      </c>
      <c r="G7" s="3"/>
      <c r="H7" s="1" t="s">
        <v>53</v>
      </c>
      <c r="I7" s="4" t="s">
        <v>49</v>
      </c>
      <c r="J7" s="4" t="s">
        <v>49</v>
      </c>
    </row>
    <row r="8" spans="2:10" hidden="1">
      <c r="B8" s="8" t="s">
        <v>63</v>
      </c>
      <c r="C8" s="9">
        <v>530307</v>
      </c>
      <c r="D8" s="38" t="s">
        <v>89</v>
      </c>
      <c r="F8" s="10"/>
      <c r="G8" s="46"/>
      <c r="H8" s="8" t="s">
        <v>6</v>
      </c>
      <c r="I8" s="9">
        <f>18777438+71000+15395000</f>
        <v>34243438</v>
      </c>
      <c r="J8" s="10"/>
    </row>
    <row r="9" spans="2:10" hidden="1">
      <c r="B9" s="8" t="s">
        <v>5</v>
      </c>
      <c r="C9" s="9">
        <v>124763</v>
      </c>
      <c r="D9" s="9" t="s">
        <v>89</v>
      </c>
      <c r="F9" s="10"/>
      <c r="G9" s="47"/>
      <c r="H9" s="8" t="s">
        <v>2</v>
      </c>
      <c r="I9" s="9">
        <v>10600</v>
      </c>
      <c r="J9" s="10"/>
    </row>
    <row r="10" spans="2:10" hidden="1">
      <c r="B10" s="8" t="s">
        <v>7</v>
      </c>
      <c r="C10" s="9">
        <f>299296+12000</f>
        <v>311296</v>
      </c>
      <c r="D10" s="9" t="s">
        <v>89</v>
      </c>
      <c r="F10" s="10"/>
      <c r="G10" s="47"/>
      <c r="H10" s="8" t="s">
        <v>3</v>
      </c>
      <c r="I10" s="9">
        <f>25230+88750</f>
        <v>113980</v>
      </c>
      <c r="J10" s="10"/>
    </row>
    <row r="11" spans="2:10" hidden="1">
      <c r="B11" s="8" t="s">
        <v>9</v>
      </c>
      <c r="C11" s="9">
        <f>3853.47+105624.28</f>
        <v>109477.75</v>
      </c>
      <c r="D11" s="9"/>
      <c r="F11" s="10"/>
      <c r="G11" s="47"/>
      <c r="H11" s="8" t="s">
        <v>58</v>
      </c>
      <c r="I11" s="9">
        <v>71000</v>
      </c>
      <c r="J11" s="10"/>
    </row>
    <row r="12" spans="2:10">
      <c r="B12" s="8" t="s">
        <v>10</v>
      </c>
      <c r="C12" s="9">
        <v>115364</v>
      </c>
      <c r="D12" s="9" t="s">
        <v>85</v>
      </c>
      <c r="F12" s="10"/>
      <c r="G12" s="47"/>
      <c r="H12" s="8" t="s">
        <v>8</v>
      </c>
      <c r="I12" s="9">
        <f>3648629+36350+87000</f>
        <v>3771979</v>
      </c>
      <c r="J12" s="10"/>
    </row>
    <row r="13" spans="2:10" hidden="1">
      <c r="B13" s="8" t="s">
        <v>59</v>
      </c>
      <c r="C13" s="9">
        <f>2635341+10000</f>
        <v>2645341</v>
      </c>
      <c r="D13" s="9" t="s">
        <v>89</v>
      </c>
      <c r="F13" s="10"/>
      <c r="G13" s="47"/>
      <c r="H13" s="8"/>
      <c r="I13" s="9"/>
      <c r="J13" s="10">
        <f>SUM(I8:I13)</f>
        <v>38210997</v>
      </c>
    </row>
    <row r="14" spans="2:10" hidden="1">
      <c r="B14" s="8" t="s">
        <v>11</v>
      </c>
      <c r="C14" s="9">
        <v>50642</v>
      </c>
      <c r="D14" s="9" t="s">
        <v>89</v>
      </c>
      <c r="F14" s="10"/>
      <c r="G14" s="47"/>
      <c r="H14" s="15"/>
      <c r="I14" s="9"/>
      <c r="J14" s="10"/>
    </row>
    <row r="15" spans="2:10" hidden="1">
      <c r="B15" s="8" t="s">
        <v>12</v>
      </c>
      <c r="C15" s="9">
        <v>111623</v>
      </c>
      <c r="D15" s="9"/>
      <c r="F15" s="10"/>
      <c r="G15" s="47"/>
      <c r="H15" s="16"/>
      <c r="I15" s="17"/>
      <c r="J15" s="17"/>
    </row>
    <row r="16" spans="2:10" hidden="1">
      <c r="B16" s="8" t="s">
        <v>13</v>
      </c>
      <c r="C16" s="9">
        <f>440+18300+8350+20875</f>
        <v>47965</v>
      </c>
      <c r="D16" s="9"/>
      <c r="F16" s="10"/>
      <c r="G16" s="47"/>
      <c r="H16" s="16"/>
      <c r="I16" s="17"/>
      <c r="J16" s="17"/>
    </row>
    <row r="17" spans="2:10" hidden="1">
      <c r="B17" s="8" t="s">
        <v>14</v>
      </c>
      <c r="C17" s="9">
        <v>871102</v>
      </c>
      <c r="D17" s="9" t="s">
        <v>89</v>
      </c>
      <c r="F17" s="10"/>
      <c r="G17" s="47"/>
      <c r="H17" s="16"/>
      <c r="I17" s="17"/>
      <c r="J17" s="17"/>
    </row>
    <row r="18" spans="2:10" hidden="1">
      <c r="B18" s="8" t="s">
        <v>60</v>
      </c>
      <c r="C18" s="9">
        <v>398350</v>
      </c>
      <c r="D18" s="9" t="s">
        <v>89</v>
      </c>
      <c r="F18" s="10"/>
      <c r="G18" s="47"/>
      <c r="H18" s="16"/>
      <c r="I18" s="17"/>
      <c r="J18" s="17"/>
    </row>
    <row r="19" spans="2:10" hidden="1">
      <c r="B19" s="8" t="s">
        <v>16</v>
      </c>
      <c r="C19" s="9">
        <f>362008+244548</f>
        <v>606556</v>
      </c>
      <c r="D19" s="9"/>
      <c r="F19" s="10"/>
      <c r="G19" s="47"/>
      <c r="H19" s="16"/>
      <c r="I19" s="17"/>
      <c r="J19" s="17"/>
    </row>
    <row r="20" spans="2:10" hidden="1">
      <c r="B20" s="8" t="s">
        <v>17</v>
      </c>
      <c r="C20" s="9">
        <v>344942</v>
      </c>
      <c r="D20" s="9" t="s">
        <v>89</v>
      </c>
      <c r="F20" s="10"/>
      <c r="G20" s="47"/>
      <c r="H20" s="16"/>
      <c r="I20" s="17"/>
      <c r="J20" s="17"/>
    </row>
    <row r="21" spans="2:10">
      <c r="B21" s="8" t="s">
        <v>18</v>
      </c>
      <c r="C21" s="9">
        <v>50700</v>
      </c>
      <c r="D21" s="9" t="s">
        <v>85</v>
      </c>
      <c r="F21" s="10"/>
      <c r="G21" s="47"/>
      <c r="H21" s="16"/>
      <c r="I21" s="17"/>
      <c r="J21" s="17"/>
    </row>
    <row r="22" spans="2:10" hidden="1">
      <c r="B22" s="8" t="s">
        <v>19</v>
      </c>
      <c r="C22" s="9">
        <v>120014</v>
      </c>
      <c r="D22" s="9" t="s">
        <v>89</v>
      </c>
      <c r="F22" s="10"/>
      <c r="G22" s="47"/>
      <c r="H22" s="16"/>
      <c r="I22" s="17"/>
      <c r="J22" s="17"/>
    </row>
    <row r="23" spans="2:10" hidden="1">
      <c r="B23" s="8" t="s">
        <v>20</v>
      </c>
      <c r="C23" s="9">
        <f>65386+197805</f>
        <v>263191</v>
      </c>
      <c r="D23" s="9"/>
      <c r="F23" s="10"/>
      <c r="G23" s="47"/>
      <c r="H23" s="16"/>
      <c r="I23" s="17"/>
      <c r="J23" s="17"/>
    </row>
    <row r="24" spans="2:10" hidden="1">
      <c r="B24" s="8" t="s">
        <v>21</v>
      </c>
      <c r="C24" s="9">
        <v>11000</v>
      </c>
      <c r="D24" s="9" t="s">
        <v>89</v>
      </c>
      <c r="F24" s="10"/>
      <c r="G24" s="47"/>
      <c r="H24" s="16"/>
      <c r="I24" s="17"/>
      <c r="J24" s="17"/>
    </row>
    <row r="25" spans="2:10" hidden="1">
      <c r="B25" s="8" t="s">
        <v>22</v>
      </c>
      <c r="C25" s="9">
        <v>298984</v>
      </c>
      <c r="D25" s="9" t="s">
        <v>89</v>
      </c>
      <c r="F25" s="10"/>
      <c r="G25" s="47"/>
      <c r="H25" s="16"/>
      <c r="I25" s="17"/>
      <c r="J25" s="17"/>
    </row>
    <row r="26" spans="2:10" hidden="1">
      <c r="B26" s="8" t="s">
        <v>66</v>
      </c>
      <c r="C26" s="9">
        <v>451817</v>
      </c>
      <c r="D26" s="9" t="s">
        <v>89</v>
      </c>
      <c r="F26" s="10"/>
      <c r="G26" s="47"/>
      <c r="H26" s="16"/>
      <c r="I26" s="17"/>
      <c r="J26" s="17"/>
    </row>
    <row r="27" spans="2:10" hidden="1">
      <c r="B27" s="8" t="s">
        <v>24</v>
      </c>
      <c r="C27" s="9">
        <f>178039+17125</f>
        <v>195164</v>
      </c>
      <c r="D27" s="9" t="s">
        <v>89</v>
      </c>
      <c r="F27" s="10"/>
      <c r="G27" s="47"/>
      <c r="H27" s="16"/>
      <c r="I27" s="17"/>
      <c r="J27" s="17"/>
    </row>
    <row r="28" spans="2:10" hidden="1">
      <c r="B28" s="8" t="s">
        <v>25</v>
      </c>
      <c r="C28" s="9">
        <f>5300+32826+179075</f>
        <v>217201</v>
      </c>
      <c r="D28" s="9" t="s">
        <v>89</v>
      </c>
      <c r="F28" s="10"/>
      <c r="G28" s="47"/>
      <c r="H28" s="16"/>
      <c r="I28" s="17"/>
      <c r="J28" s="17"/>
    </row>
    <row r="29" spans="2:10" hidden="1">
      <c r="B29" s="8" t="s">
        <v>61</v>
      </c>
      <c r="C29" s="9">
        <v>300</v>
      </c>
      <c r="D29" s="9"/>
      <c r="F29" s="10"/>
      <c r="G29" s="47"/>
      <c r="H29" s="16"/>
      <c r="I29" s="17"/>
      <c r="J29" s="17"/>
    </row>
    <row r="30" spans="2:10" hidden="1">
      <c r="B30" s="8" t="s">
        <v>26</v>
      </c>
      <c r="C30" s="9">
        <v>2788</v>
      </c>
      <c r="D30" s="9"/>
      <c r="F30" s="10"/>
      <c r="G30" s="47"/>
      <c r="H30" s="16"/>
      <c r="I30" s="17"/>
      <c r="J30" s="17"/>
    </row>
    <row r="31" spans="2:10" hidden="1">
      <c r="B31" s="8" t="s">
        <v>27</v>
      </c>
      <c r="C31" s="9">
        <v>75009</v>
      </c>
      <c r="D31" s="9" t="s">
        <v>89</v>
      </c>
      <c r="F31" s="10"/>
      <c r="G31" s="47"/>
      <c r="H31" s="16"/>
      <c r="I31" s="17"/>
      <c r="J31" s="17"/>
    </row>
    <row r="32" spans="2:10" hidden="1">
      <c r="B32" s="8" t="s">
        <v>28</v>
      </c>
      <c r="C32" s="9">
        <v>21252</v>
      </c>
      <c r="D32" s="9"/>
      <c r="F32" s="10"/>
      <c r="G32" s="47"/>
      <c r="H32" s="16"/>
      <c r="I32" s="17"/>
      <c r="J32" s="17"/>
    </row>
    <row r="33" spans="2:10" hidden="1">
      <c r="B33" s="8" t="s">
        <v>29</v>
      </c>
      <c r="C33" s="9">
        <v>209493</v>
      </c>
      <c r="D33" s="9"/>
      <c r="F33" s="10"/>
      <c r="G33" s="47"/>
      <c r="H33" s="16"/>
      <c r="I33" s="17"/>
      <c r="J33" s="17"/>
    </row>
    <row r="34" spans="2:10" hidden="1">
      <c r="B34" s="8" t="s">
        <v>30</v>
      </c>
      <c r="C34" s="9">
        <v>38718</v>
      </c>
      <c r="D34" s="9" t="s">
        <v>89</v>
      </c>
      <c r="F34" s="10"/>
      <c r="G34" s="47"/>
      <c r="H34" s="16"/>
      <c r="I34" s="17"/>
      <c r="J34" s="17"/>
    </row>
    <row r="35" spans="2:10" hidden="1">
      <c r="B35" s="8" t="s">
        <v>31</v>
      </c>
      <c r="C35" s="9">
        <v>123445</v>
      </c>
      <c r="D35" s="9" t="s">
        <v>89</v>
      </c>
      <c r="F35" s="10"/>
      <c r="G35" s="47"/>
      <c r="H35" s="16"/>
      <c r="I35" s="17"/>
      <c r="J35" s="17"/>
    </row>
    <row r="36" spans="2:10" hidden="1">
      <c r="B36" s="8" t="s">
        <v>32</v>
      </c>
      <c r="C36" s="9">
        <f>535477+33708</f>
        <v>569185</v>
      </c>
      <c r="D36" s="9" t="s">
        <v>89</v>
      </c>
      <c r="F36" s="10"/>
      <c r="G36" s="47"/>
      <c r="H36" s="16"/>
      <c r="I36" s="17"/>
      <c r="J36" s="17"/>
    </row>
    <row r="37" spans="2:10" hidden="1">
      <c r="B37" s="8" t="s">
        <v>33</v>
      </c>
      <c r="C37" s="9">
        <v>2500</v>
      </c>
      <c r="D37" s="9" t="s">
        <v>89</v>
      </c>
      <c r="F37" s="10"/>
      <c r="G37" s="47"/>
      <c r="H37" s="16"/>
      <c r="I37" s="17"/>
      <c r="J37" s="17"/>
    </row>
    <row r="38" spans="2:10" hidden="1">
      <c r="B38" s="8" t="s">
        <v>34</v>
      </c>
      <c r="C38" s="9">
        <f>1426804+14500+6850</f>
        <v>1448154</v>
      </c>
      <c r="D38" s="9" t="s">
        <v>89</v>
      </c>
      <c r="F38" s="10"/>
      <c r="G38" s="47"/>
      <c r="H38" s="16"/>
      <c r="I38" s="17"/>
      <c r="J38" s="17"/>
    </row>
    <row r="39" spans="2:10" hidden="1">
      <c r="B39" s="8" t="s">
        <v>35</v>
      </c>
      <c r="C39" s="9">
        <f>535090+24072</f>
        <v>559162</v>
      </c>
      <c r="D39" s="9" t="s">
        <v>89</v>
      </c>
      <c r="F39" s="10"/>
      <c r="G39" s="47"/>
      <c r="H39" s="16"/>
      <c r="I39" s="17"/>
      <c r="J39" s="17"/>
    </row>
    <row r="40" spans="2:10" hidden="1">
      <c r="B40" s="8" t="s">
        <v>36</v>
      </c>
      <c r="C40" s="9">
        <v>158844</v>
      </c>
      <c r="D40" s="9" t="s">
        <v>89</v>
      </c>
      <c r="F40" s="10"/>
      <c r="G40" s="47"/>
      <c r="H40" s="16"/>
      <c r="I40" s="17"/>
      <c r="J40" s="17"/>
    </row>
    <row r="41" spans="2:10">
      <c r="B41" s="8" t="s">
        <v>65</v>
      </c>
      <c r="C41" s="9">
        <f>218767+25840</f>
        <v>244607</v>
      </c>
      <c r="D41" s="9" t="s">
        <v>85</v>
      </c>
      <c r="F41" s="10"/>
      <c r="G41" s="47"/>
      <c r="H41" s="16"/>
      <c r="I41" s="17"/>
      <c r="J41" s="17"/>
    </row>
    <row r="42" spans="2:10" hidden="1">
      <c r="B42" s="8" t="s">
        <v>38</v>
      </c>
      <c r="C42" s="9">
        <v>17638671</v>
      </c>
      <c r="D42" s="9"/>
      <c r="F42" s="10"/>
      <c r="G42" s="47"/>
      <c r="H42" s="16"/>
      <c r="I42" s="17"/>
      <c r="J42" s="17"/>
    </row>
    <row r="43" spans="2:10" hidden="1">
      <c r="B43" s="8" t="s">
        <v>40</v>
      </c>
      <c r="C43" s="9">
        <v>358238</v>
      </c>
      <c r="D43" s="9" t="s">
        <v>89</v>
      </c>
      <c r="F43" s="10"/>
      <c r="G43" s="47"/>
      <c r="H43" s="16"/>
      <c r="I43" s="17"/>
      <c r="J43" s="17"/>
    </row>
    <row r="44" spans="2:10" hidden="1">
      <c r="B44" s="8" t="s">
        <v>41</v>
      </c>
      <c r="C44" s="9">
        <f>312574+23394</f>
        <v>335968</v>
      </c>
      <c r="D44" s="9"/>
      <c r="F44" s="10"/>
      <c r="G44" s="47"/>
      <c r="H44" s="16"/>
      <c r="I44" s="17"/>
      <c r="J44" s="17"/>
    </row>
    <row r="45" spans="2:10" hidden="1">
      <c r="B45" s="8" t="s">
        <v>62</v>
      </c>
      <c r="C45" s="9">
        <v>144000</v>
      </c>
      <c r="D45" s="9"/>
      <c r="F45" s="10"/>
      <c r="G45" s="47"/>
      <c r="H45" s="16"/>
      <c r="I45" s="17"/>
      <c r="J45" s="17"/>
    </row>
    <row r="46" spans="2:10" hidden="1">
      <c r="B46" s="8" t="s">
        <v>42</v>
      </c>
      <c r="C46" s="9">
        <f>85320+90436</f>
        <v>175756</v>
      </c>
      <c r="D46" s="9" t="s">
        <v>89</v>
      </c>
      <c r="F46" s="10"/>
      <c r="G46" s="47"/>
      <c r="H46" s="16"/>
      <c r="I46" s="17"/>
      <c r="J46" s="17"/>
    </row>
    <row r="47" spans="2:10" hidden="1">
      <c r="B47" s="8" t="s">
        <v>44</v>
      </c>
      <c r="C47" s="9">
        <v>346841</v>
      </c>
      <c r="D47" s="9" t="s">
        <v>89</v>
      </c>
      <c r="F47" s="10"/>
      <c r="G47" s="47"/>
      <c r="H47" s="16"/>
      <c r="I47" s="17"/>
      <c r="J47" s="17"/>
    </row>
    <row r="48" spans="2:10" hidden="1">
      <c r="B48" s="8" t="s">
        <v>67</v>
      </c>
      <c r="C48" s="9">
        <f>62890+10350</f>
        <v>73240</v>
      </c>
      <c r="D48" s="9"/>
      <c r="F48" s="10"/>
      <c r="G48" s="47"/>
      <c r="H48" s="16"/>
      <c r="I48" s="17"/>
      <c r="J48" s="17"/>
    </row>
    <row r="49" spans="2:10" hidden="1">
      <c r="B49" s="8" t="s">
        <v>45</v>
      </c>
      <c r="C49" s="9">
        <v>72691</v>
      </c>
      <c r="D49" s="9" t="s">
        <v>89</v>
      </c>
      <c r="F49" s="10"/>
      <c r="G49" s="47"/>
      <c r="H49" s="16"/>
      <c r="I49" s="17"/>
      <c r="J49" s="17"/>
    </row>
    <row r="50" spans="2:10" hidden="1">
      <c r="B50" s="8" t="s">
        <v>0</v>
      </c>
      <c r="C50" s="9">
        <v>43625</v>
      </c>
      <c r="D50" s="9" t="s">
        <v>89</v>
      </c>
      <c r="F50" s="10"/>
      <c r="G50" s="47"/>
      <c r="H50" s="16"/>
      <c r="I50" s="17"/>
      <c r="J50" s="17"/>
    </row>
    <row r="51" spans="2:10" hidden="1">
      <c r="B51" s="8" t="s">
        <v>55</v>
      </c>
      <c r="C51" s="9">
        <f>855585+12790+100000</f>
        <v>968375</v>
      </c>
      <c r="D51" s="9" t="s">
        <v>89</v>
      </c>
      <c r="F51" s="10"/>
      <c r="G51" s="47"/>
      <c r="H51" s="16"/>
      <c r="I51" s="17"/>
      <c r="J51" s="17"/>
    </row>
    <row r="52" spans="2:10">
      <c r="B52" s="8" t="s">
        <v>46</v>
      </c>
      <c r="C52" s="9">
        <f>165141+1269029</f>
        <v>1434170</v>
      </c>
      <c r="D52" s="9" t="s">
        <v>85</v>
      </c>
      <c r="F52" s="10"/>
      <c r="G52" s="47"/>
      <c r="H52" s="16"/>
      <c r="I52" s="17"/>
      <c r="J52" s="17"/>
    </row>
    <row r="53" spans="2:10" hidden="1">
      <c r="B53" s="8" t="s">
        <v>47</v>
      </c>
      <c r="C53" s="9">
        <v>115625</v>
      </c>
      <c r="D53" s="9" t="s">
        <v>89</v>
      </c>
      <c r="F53" s="10">
        <f>SUM(C8:C53)</f>
        <v>33036456.75</v>
      </c>
      <c r="G53" s="47"/>
      <c r="H53" s="16"/>
      <c r="I53" s="17"/>
      <c r="J53" s="17"/>
    </row>
    <row r="54" spans="2:10">
      <c r="B54" s="14"/>
      <c r="C54" s="13"/>
      <c r="D54" s="13"/>
      <c r="E54" s="13"/>
      <c r="F54" s="10"/>
      <c r="G54" s="47"/>
      <c r="H54" s="16"/>
      <c r="I54" s="17"/>
      <c r="J54" s="17"/>
    </row>
    <row r="55" spans="2:10">
      <c r="B55" s="20" t="s">
        <v>56</v>
      </c>
      <c r="C55" s="13"/>
      <c r="D55" s="13"/>
      <c r="E55" s="13"/>
      <c r="F55" s="10">
        <f>J57-F53</f>
        <v>5174540.25</v>
      </c>
      <c r="G55" s="47"/>
      <c r="H55" s="16"/>
      <c r="I55" s="17"/>
      <c r="J55" s="17"/>
    </row>
    <row r="56" spans="2:10">
      <c r="B56" s="8"/>
      <c r="C56" s="9"/>
      <c r="D56" s="9"/>
      <c r="E56" s="9"/>
      <c r="F56" s="10"/>
      <c r="G56" s="48"/>
      <c r="H56" s="16"/>
      <c r="I56" s="17"/>
      <c r="J56" s="17"/>
    </row>
    <row r="57" spans="2:10" ht="15.75" thickBot="1">
      <c r="B57" s="44" t="s">
        <v>48</v>
      </c>
      <c r="C57" s="44"/>
      <c r="D57" s="23"/>
      <c r="E57" s="36"/>
      <c r="F57" s="18">
        <f>SUM(F8:F56)</f>
        <v>38210997</v>
      </c>
      <c r="G57" s="19"/>
      <c r="H57" s="44" t="s">
        <v>48</v>
      </c>
      <c r="I57" s="44"/>
      <c r="J57" s="18">
        <f>SUM(J8:J56)</f>
        <v>38210997</v>
      </c>
    </row>
    <row r="58" spans="2:10" ht="15.75" thickTop="1"/>
  </sheetData>
  <autoFilter ref="B7:D53">
    <filterColumn colId="2">
      <filters>
        <filter val="Maintenance"/>
      </filters>
    </filterColumn>
  </autoFilter>
  <mergeCells count="7">
    <mergeCell ref="B3:J3"/>
    <mergeCell ref="B4:J4"/>
    <mergeCell ref="B5:J5"/>
    <mergeCell ref="B6:J6"/>
    <mergeCell ref="H57:I57"/>
    <mergeCell ref="B57:C57"/>
    <mergeCell ref="G8:G5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B3:J59"/>
  <sheetViews>
    <sheetView topLeftCell="B4" zoomScale="130" zoomScaleNormal="130" workbookViewId="0">
      <selection activeCell="B7" sqref="B7:D54"/>
    </sheetView>
  </sheetViews>
  <sheetFormatPr defaultRowHeight="15"/>
  <cols>
    <col min="1" max="1" width="9.140625" style="6"/>
    <col min="2" max="2" width="33.7109375" style="6" bestFit="1" customWidth="1"/>
    <col min="3" max="3" width="13.5703125" style="5" bestFit="1" customWidth="1"/>
    <col min="4" max="5" width="13.5703125" style="5" customWidth="1"/>
    <col min="6" max="6" width="13.5703125" style="5" bestFit="1" customWidth="1"/>
    <col min="7" max="7" width="3.28515625" style="6" customWidth="1"/>
    <col min="8" max="8" width="20.7109375" style="6" bestFit="1" customWidth="1"/>
    <col min="9" max="9" width="13.5703125" style="5" bestFit="1" customWidth="1"/>
    <col min="10" max="10" width="12" style="5" bestFit="1" customWidth="1"/>
    <col min="11" max="16384" width="9.140625" style="6"/>
  </cols>
  <sheetData>
    <row r="3" spans="2:10" ht="20.100000000000001" customHeight="1">
      <c r="B3" s="45" t="s">
        <v>50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57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5" t="s">
        <v>71</v>
      </c>
      <c r="C5" s="45"/>
      <c r="D5" s="45"/>
      <c r="E5" s="45"/>
      <c r="F5" s="45"/>
      <c r="G5" s="45"/>
      <c r="H5" s="45"/>
      <c r="I5" s="45"/>
      <c r="J5" s="45"/>
    </row>
    <row r="6" spans="2:10" ht="20.100000000000001" customHeight="1">
      <c r="B6" s="49"/>
      <c r="C6" s="49"/>
      <c r="D6" s="49"/>
      <c r="E6" s="49"/>
      <c r="F6" s="49"/>
      <c r="G6" s="49"/>
      <c r="H6" s="49"/>
      <c r="I6" s="49"/>
      <c r="J6" s="49"/>
    </row>
    <row r="7" spans="2:10" ht="20.100000000000001" customHeight="1">
      <c r="B7" s="1" t="s">
        <v>52</v>
      </c>
      <c r="C7" s="4" t="s">
        <v>49</v>
      </c>
      <c r="D7" s="4" t="s">
        <v>86</v>
      </c>
      <c r="E7" s="4"/>
      <c r="F7" s="4" t="s">
        <v>49</v>
      </c>
      <c r="G7" s="3"/>
      <c r="H7" s="1" t="s">
        <v>53</v>
      </c>
      <c r="I7" s="4" t="s">
        <v>49</v>
      </c>
      <c r="J7" s="4" t="s">
        <v>49</v>
      </c>
    </row>
    <row r="8" spans="2:10" hidden="1">
      <c r="B8" s="8" t="s">
        <v>63</v>
      </c>
      <c r="C8" s="9">
        <f>904399+50310</f>
        <v>954709</v>
      </c>
      <c r="D8" s="10" t="s">
        <v>89</v>
      </c>
      <c r="G8" s="50"/>
      <c r="H8" s="8" t="s">
        <v>1</v>
      </c>
      <c r="I8" s="9">
        <f>18667078+17154690</f>
        <v>35821768</v>
      </c>
      <c r="J8" s="10"/>
    </row>
    <row r="9" spans="2:10" hidden="1">
      <c r="B9" s="8" t="s">
        <v>5</v>
      </c>
      <c r="C9" s="9">
        <v>216656</v>
      </c>
      <c r="D9" s="10" t="s">
        <v>89</v>
      </c>
      <c r="G9" s="50"/>
      <c r="H9" s="8" t="s">
        <v>8</v>
      </c>
      <c r="I9" s="9">
        <v>707557</v>
      </c>
      <c r="J9" s="10"/>
    </row>
    <row r="10" spans="2:10" hidden="1">
      <c r="B10" s="8" t="s">
        <v>7</v>
      </c>
      <c r="C10" s="9">
        <f>1025+12000+349906</f>
        <v>362931</v>
      </c>
      <c r="D10" s="10" t="s">
        <v>89</v>
      </c>
      <c r="G10" s="50"/>
      <c r="H10" s="22" t="s">
        <v>3</v>
      </c>
      <c r="I10" s="9">
        <v>48757</v>
      </c>
      <c r="J10" s="10">
        <f>SUM(I8:I10)</f>
        <v>36578082</v>
      </c>
    </row>
    <row r="11" spans="2:10" hidden="1">
      <c r="B11" s="8" t="s">
        <v>9</v>
      </c>
      <c r="C11" s="9">
        <f>7777.4+49417</f>
        <v>57194.400000000001</v>
      </c>
      <c r="D11" s="10"/>
      <c r="G11" s="50"/>
      <c r="H11" s="16"/>
      <c r="I11" s="17"/>
      <c r="J11" s="17"/>
    </row>
    <row r="12" spans="2:10" hidden="1">
      <c r="B12" s="8" t="s">
        <v>54</v>
      </c>
      <c r="C12" s="9">
        <v>663272</v>
      </c>
      <c r="D12" s="10"/>
      <c r="G12" s="50"/>
      <c r="H12" s="16"/>
      <c r="I12" s="17"/>
      <c r="J12" s="17"/>
    </row>
    <row r="13" spans="2:10">
      <c r="B13" s="8" t="s">
        <v>10</v>
      </c>
      <c r="C13" s="9">
        <v>205627</v>
      </c>
      <c r="D13" s="10" t="s">
        <v>83</v>
      </c>
      <c r="G13" s="50"/>
      <c r="H13" s="16"/>
      <c r="I13" s="17"/>
      <c r="J13" s="17"/>
    </row>
    <row r="14" spans="2:10" hidden="1">
      <c r="B14" s="8" t="s">
        <v>59</v>
      </c>
      <c r="C14" s="9">
        <v>353720</v>
      </c>
      <c r="D14" s="10"/>
      <c r="G14" s="50"/>
      <c r="H14" s="16"/>
      <c r="I14" s="17"/>
      <c r="J14" s="17"/>
    </row>
    <row r="15" spans="2:10" hidden="1">
      <c r="B15" s="8" t="s">
        <v>11</v>
      </c>
      <c r="C15" s="9">
        <v>64701</v>
      </c>
      <c r="D15" s="10" t="s">
        <v>89</v>
      </c>
      <c r="G15" s="50"/>
      <c r="H15" s="16"/>
      <c r="I15" s="17"/>
      <c r="J15" s="17"/>
    </row>
    <row r="16" spans="2:10" hidden="1">
      <c r="B16" s="8" t="s">
        <v>12</v>
      </c>
      <c r="C16" s="9">
        <v>56317</v>
      </c>
      <c r="D16" s="10"/>
      <c r="G16" s="50"/>
      <c r="H16" s="16"/>
      <c r="I16" s="17"/>
      <c r="J16" s="17"/>
    </row>
    <row r="17" spans="2:10" hidden="1">
      <c r="B17" s="8" t="s">
        <v>13</v>
      </c>
      <c r="C17" s="9">
        <f>5650+17700+10063+20125</f>
        <v>53538</v>
      </c>
      <c r="D17" s="10"/>
      <c r="G17" s="50"/>
      <c r="H17" s="16"/>
      <c r="I17" s="17"/>
      <c r="J17" s="17"/>
    </row>
    <row r="18" spans="2:10" hidden="1">
      <c r="B18" s="8" t="s">
        <v>70</v>
      </c>
      <c r="C18" s="9">
        <v>654873</v>
      </c>
      <c r="D18" s="10" t="s">
        <v>89</v>
      </c>
      <c r="G18" s="50"/>
      <c r="H18" s="16"/>
      <c r="I18" s="17"/>
      <c r="J18" s="17"/>
    </row>
    <row r="19" spans="2:10" hidden="1">
      <c r="B19" s="8" t="s">
        <v>14</v>
      </c>
      <c r="C19" s="9">
        <f>134168+52419</f>
        <v>186587</v>
      </c>
      <c r="D19" s="10"/>
      <c r="G19" s="50"/>
      <c r="H19" s="16"/>
      <c r="I19" s="17"/>
      <c r="J19" s="17"/>
    </row>
    <row r="20" spans="2:10" hidden="1">
      <c r="B20" s="8" t="s">
        <v>60</v>
      </c>
      <c r="C20" s="9">
        <v>356191</v>
      </c>
      <c r="D20" s="10" t="s">
        <v>89</v>
      </c>
      <c r="G20" s="50"/>
      <c r="H20" s="16"/>
      <c r="I20" s="17"/>
      <c r="J20" s="17"/>
    </row>
    <row r="21" spans="2:10" hidden="1">
      <c r="B21" s="8" t="s">
        <v>16</v>
      </c>
      <c r="C21" s="9">
        <f>160211+269966+278577</f>
        <v>708754</v>
      </c>
      <c r="D21" s="10"/>
      <c r="G21" s="50"/>
      <c r="H21" s="16"/>
      <c r="I21" s="17"/>
      <c r="J21" s="17"/>
    </row>
    <row r="22" spans="2:10" hidden="1">
      <c r="B22" s="8" t="s">
        <v>17</v>
      </c>
      <c r="C22" s="9">
        <v>299435</v>
      </c>
      <c r="D22" s="10" t="s">
        <v>89</v>
      </c>
      <c r="G22" s="50"/>
      <c r="H22" s="16"/>
      <c r="I22" s="17"/>
      <c r="J22" s="17"/>
    </row>
    <row r="23" spans="2:10">
      <c r="B23" s="8" t="s">
        <v>18</v>
      </c>
      <c r="C23" s="9">
        <v>57500</v>
      </c>
      <c r="D23" s="10" t="s">
        <v>83</v>
      </c>
      <c r="G23" s="50"/>
      <c r="H23" s="16"/>
      <c r="I23" s="17"/>
      <c r="J23" s="17"/>
    </row>
    <row r="24" spans="2:10" hidden="1">
      <c r="B24" s="8" t="s">
        <v>19</v>
      </c>
      <c r="C24" s="9">
        <v>102112</v>
      </c>
      <c r="D24" s="10" t="s">
        <v>89</v>
      </c>
      <c r="G24" s="50"/>
      <c r="H24" s="16"/>
      <c r="I24" s="17"/>
      <c r="J24" s="17"/>
    </row>
    <row r="25" spans="2:10" hidden="1">
      <c r="B25" s="8" t="s">
        <v>20</v>
      </c>
      <c r="C25" s="9">
        <f>103661+132437</f>
        <v>236098</v>
      </c>
      <c r="D25" s="10"/>
      <c r="G25" s="50"/>
      <c r="H25" s="16"/>
      <c r="I25" s="17"/>
      <c r="J25" s="17"/>
    </row>
    <row r="26" spans="2:10" hidden="1">
      <c r="B26" s="8" t="s">
        <v>21</v>
      </c>
      <c r="C26" s="9">
        <v>47417</v>
      </c>
      <c r="D26" s="10" t="s">
        <v>89</v>
      </c>
      <c r="G26" s="50"/>
      <c r="H26" s="16"/>
      <c r="I26" s="17"/>
      <c r="J26" s="17"/>
    </row>
    <row r="27" spans="2:10" hidden="1">
      <c r="B27" s="8" t="s">
        <v>22</v>
      </c>
      <c r="C27" s="9">
        <v>839245</v>
      </c>
      <c r="D27" s="10" t="s">
        <v>89</v>
      </c>
      <c r="G27" s="50"/>
      <c r="H27" s="16"/>
      <c r="I27" s="17"/>
      <c r="J27" s="17"/>
    </row>
    <row r="28" spans="2:10" hidden="1">
      <c r="B28" s="8" t="s">
        <v>23</v>
      </c>
      <c r="C28" s="9">
        <v>40266</v>
      </c>
      <c r="D28" s="10" t="s">
        <v>89</v>
      </c>
      <c r="G28" s="50"/>
      <c r="H28" s="16"/>
      <c r="I28" s="17"/>
      <c r="J28" s="17"/>
    </row>
    <row r="29" spans="2:10" hidden="1">
      <c r="B29" s="8" t="s">
        <v>24</v>
      </c>
      <c r="C29" s="9">
        <f>207768+18575</f>
        <v>226343</v>
      </c>
      <c r="D29" s="10" t="s">
        <v>89</v>
      </c>
      <c r="G29" s="50"/>
      <c r="H29" s="16"/>
      <c r="I29" s="17"/>
      <c r="J29" s="17"/>
    </row>
    <row r="30" spans="2:10" hidden="1">
      <c r="B30" s="8" t="s">
        <v>25</v>
      </c>
      <c r="C30" s="9">
        <f>250315+5900</f>
        <v>256215</v>
      </c>
      <c r="D30" s="10" t="s">
        <v>89</v>
      </c>
      <c r="G30" s="50"/>
      <c r="H30" s="16"/>
      <c r="I30" s="17"/>
      <c r="J30" s="17"/>
    </row>
    <row r="31" spans="2:10" hidden="1">
      <c r="B31" s="8" t="s">
        <v>61</v>
      </c>
      <c r="C31" s="9">
        <v>70000</v>
      </c>
      <c r="D31" s="10"/>
      <c r="G31" s="50"/>
      <c r="H31" s="16"/>
      <c r="I31" s="17"/>
      <c r="J31" s="17"/>
    </row>
    <row r="32" spans="2:10" hidden="1">
      <c r="B32" s="8" t="s">
        <v>26</v>
      </c>
      <c r="C32" s="9">
        <v>560</v>
      </c>
      <c r="D32" s="10"/>
      <c r="G32" s="50"/>
      <c r="H32" s="16"/>
      <c r="I32" s="17"/>
      <c r="J32" s="17"/>
    </row>
    <row r="33" spans="2:10" hidden="1">
      <c r="B33" s="8" t="s">
        <v>27</v>
      </c>
      <c r="C33" s="9">
        <v>71651</v>
      </c>
      <c r="D33" s="10" t="s">
        <v>89</v>
      </c>
      <c r="G33" s="50"/>
      <c r="H33" s="16"/>
      <c r="I33" s="17"/>
      <c r="J33" s="17"/>
    </row>
    <row r="34" spans="2:10" hidden="1">
      <c r="B34" s="8" t="s">
        <v>28</v>
      </c>
      <c r="C34" s="9">
        <v>84359</v>
      </c>
      <c r="D34" s="10"/>
      <c r="G34" s="50"/>
      <c r="H34" s="16"/>
      <c r="I34" s="17"/>
      <c r="J34" s="17"/>
    </row>
    <row r="35" spans="2:10" hidden="1">
      <c r="B35" s="8" t="s">
        <v>29</v>
      </c>
      <c r="C35" s="9">
        <f>96179+11200</f>
        <v>107379</v>
      </c>
      <c r="D35" s="10"/>
      <c r="G35" s="50"/>
      <c r="H35" s="16"/>
      <c r="I35" s="17"/>
      <c r="J35" s="17"/>
    </row>
    <row r="36" spans="2:10" hidden="1">
      <c r="B36" s="8" t="s">
        <v>30</v>
      </c>
      <c r="C36" s="9">
        <v>67831</v>
      </c>
      <c r="D36" s="10" t="s">
        <v>89</v>
      </c>
      <c r="G36" s="50"/>
      <c r="H36" s="16"/>
      <c r="I36" s="17"/>
      <c r="J36" s="17"/>
    </row>
    <row r="37" spans="2:10" hidden="1">
      <c r="B37" s="8" t="s">
        <v>31</v>
      </c>
      <c r="C37" s="9">
        <v>122876</v>
      </c>
      <c r="D37" s="10" t="s">
        <v>89</v>
      </c>
      <c r="G37" s="50"/>
      <c r="H37" s="16"/>
      <c r="I37" s="17"/>
      <c r="J37" s="17"/>
    </row>
    <row r="38" spans="2:10" hidden="1">
      <c r="B38" s="8" t="s">
        <v>32</v>
      </c>
      <c r="C38" s="9">
        <v>757782</v>
      </c>
      <c r="D38" s="10" t="s">
        <v>89</v>
      </c>
      <c r="G38" s="50"/>
      <c r="H38" s="16"/>
      <c r="I38" s="17"/>
      <c r="J38" s="17"/>
    </row>
    <row r="39" spans="2:10" hidden="1">
      <c r="B39" s="8" t="s">
        <v>33</v>
      </c>
      <c r="C39" s="9">
        <v>2500</v>
      </c>
      <c r="D39" s="10" t="s">
        <v>89</v>
      </c>
      <c r="G39" s="50"/>
      <c r="H39" s="16"/>
      <c r="I39" s="17"/>
      <c r="J39" s="17"/>
    </row>
    <row r="40" spans="2:10" hidden="1">
      <c r="B40" s="8" t="s">
        <v>34</v>
      </c>
      <c r="C40" s="9">
        <v>1617026</v>
      </c>
      <c r="D40" s="10" t="s">
        <v>89</v>
      </c>
      <c r="G40" s="50"/>
      <c r="H40" s="16"/>
      <c r="I40" s="17"/>
      <c r="J40" s="17"/>
    </row>
    <row r="41" spans="2:10" hidden="1">
      <c r="B41" s="8" t="s">
        <v>35</v>
      </c>
      <c r="C41" s="9">
        <f>751534+16260+8400</f>
        <v>776194</v>
      </c>
      <c r="D41" s="10" t="s">
        <v>89</v>
      </c>
      <c r="G41" s="50"/>
      <c r="H41" s="16"/>
      <c r="I41" s="17"/>
      <c r="J41" s="17"/>
    </row>
    <row r="42" spans="2:10" hidden="1">
      <c r="B42" s="8" t="s">
        <v>36</v>
      </c>
      <c r="C42" s="9">
        <v>140150</v>
      </c>
      <c r="D42" s="10" t="s">
        <v>89</v>
      </c>
      <c r="G42" s="50"/>
      <c r="H42" s="16"/>
      <c r="I42" s="17"/>
      <c r="J42" s="17"/>
    </row>
    <row r="43" spans="2:10">
      <c r="B43" s="8" t="s">
        <v>65</v>
      </c>
      <c r="C43" s="9">
        <v>923521</v>
      </c>
      <c r="D43" s="10" t="s">
        <v>83</v>
      </c>
      <c r="G43" s="50"/>
      <c r="H43" s="16"/>
      <c r="I43" s="17"/>
      <c r="J43" s="17"/>
    </row>
    <row r="44" spans="2:10" hidden="1">
      <c r="B44" s="8" t="s">
        <v>38</v>
      </c>
      <c r="C44" s="9">
        <v>17816428</v>
      </c>
      <c r="D44" s="10"/>
      <c r="G44" s="50"/>
      <c r="H44" s="16"/>
      <c r="I44" s="17"/>
      <c r="J44" s="17"/>
    </row>
    <row r="45" spans="2:10" hidden="1">
      <c r="B45" s="8" t="s">
        <v>40</v>
      </c>
      <c r="C45" s="9">
        <v>836968</v>
      </c>
      <c r="D45" s="10" t="s">
        <v>89</v>
      </c>
      <c r="G45" s="50"/>
      <c r="H45" s="16"/>
      <c r="I45" s="17"/>
      <c r="J45" s="17"/>
    </row>
    <row r="46" spans="2:10" hidden="1">
      <c r="B46" s="8" t="s">
        <v>41</v>
      </c>
      <c r="C46" s="9">
        <f>191518+37155</f>
        <v>228673</v>
      </c>
      <c r="D46" s="10"/>
      <c r="G46" s="50"/>
      <c r="H46" s="16"/>
      <c r="I46" s="17"/>
      <c r="J46" s="17"/>
    </row>
    <row r="47" spans="2:10" hidden="1">
      <c r="B47" s="8" t="s">
        <v>42</v>
      </c>
      <c r="C47" s="9">
        <f>296473+32063</f>
        <v>328536</v>
      </c>
      <c r="D47" s="10" t="s">
        <v>89</v>
      </c>
      <c r="G47" s="50"/>
      <c r="H47" s="16"/>
      <c r="I47" s="17"/>
      <c r="J47" s="17"/>
    </row>
    <row r="48" spans="2:10" hidden="1">
      <c r="B48" s="8" t="s">
        <v>44</v>
      </c>
      <c r="C48" s="9">
        <v>210568</v>
      </c>
      <c r="D48" s="10" t="s">
        <v>89</v>
      </c>
      <c r="G48" s="50"/>
      <c r="H48" s="16"/>
      <c r="I48" s="17"/>
      <c r="J48" s="17"/>
    </row>
    <row r="49" spans="2:10" hidden="1">
      <c r="B49" s="8" t="s">
        <v>72</v>
      </c>
      <c r="C49" s="9">
        <f>99330+121380</f>
        <v>220710</v>
      </c>
      <c r="D49" s="10"/>
      <c r="G49" s="50"/>
      <c r="H49" s="16"/>
      <c r="I49" s="17"/>
      <c r="J49" s="17"/>
    </row>
    <row r="50" spans="2:10" hidden="1">
      <c r="B50" s="8" t="s">
        <v>45</v>
      </c>
      <c r="C50" s="9">
        <v>44619</v>
      </c>
      <c r="D50" s="10" t="s">
        <v>89</v>
      </c>
      <c r="G50" s="50"/>
      <c r="H50" s="16"/>
      <c r="I50" s="17"/>
      <c r="J50" s="17"/>
    </row>
    <row r="51" spans="2:10" hidden="1">
      <c r="B51" s="8" t="s">
        <v>0</v>
      </c>
      <c r="C51" s="9">
        <v>51101</v>
      </c>
      <c r="D51" s="10" t="s">
        <v>89</v>
      </c>
      <c r="G51" s="50"/>
      <c r="H51" s="16"/>
      <c r="I51" s="17"/>
      <c r="J51" s="17"/>
    </row>
    <row r="52" spans="2:10" hidden="1">
      <c r="B52" s="8" t="s">
        <v>55</v>
      </c>
      <c r="C52" s="9">
        <f>602145+4160</f>
        <v>606305</v>
      </c>
      <c r="D52" s="10" t="s">
        <v>89</v>
      </c>
      <c r="G52" s="50"/>
      <c r="H52" s="16"/>
      <c r="I52" s="17"/>
      <c r="J52" s="17"/>
    </row>
    <row r="53" spans="2:10">
      <c r="B53" s="8" t="s">
        <v>46</v>
      </c>
      <c r="C53" s="9">
        <f>504312+901541</f>
        <v>1405853</v>
      </c>
      <c r="D53" s="10" t="s">
        <v>83</v>
      </c>
      <c r="G53" s="50"/>
      <c r="H53" s="16"/>
      <c r="I53" s="17"/>
      <c r="J53" s="17"/>
    </row>
    <row r="54" spans="2:10" hidden="1">
      <c r="B54" s="8" t="s">
        <v>47</v>
      </c>
      <c r="C54" s="9">
        <v>163474</v>
      </c>
      <c r="D54" s="9" t="s">
        <v>89</v>
      </c>
      <c r="F54" s="10">
        <f>SUM(C8:C54)</f>
        <v>33654765.399999999</v>
      </c>
      <c r="G54" s="50"/>
      <c r="H54" s="10"/>
      <c r="I54" s="17"/>
      <c r="J54" s="17"/>
    </row>
    <row r="55" spans="2:10">
      <c r="B55" s="14"/>
      <c r="C55" s="21"/>
      <c r="D55" s="21"/>
      <c r="E55" s="21"/>
      <c r="F55" s="10"/>
      <c r="G55" s="50"/>
      <c r="H55" s="16"/>
      <c r="I55" s="17"/>
      <c r="J55" s="17"/>
    </row>
    <row r="56" spans="2:10">
      <c r="B56" s="20" t="s">
        <v>56</v>
      </c>
      <c r="C56" s="9"/>
      <c r="D56" s="9"/>
      <c r="E56" s="9"/>
      <c r="F56" s="10">
        <f>J58-F54</f>
        <v>2923316.6000000015</v>
      </c>
      <c r="G56" s="50"/>
      <c r="H56" s="16"/>
      <c r="I56" s="17"/>
      <c r="J56" s="17"/>
    </row>
    <row r="57" spans="2:10">
      <c r="B57" s="8"/>
      <c r="C57" s="9"/>
      <c r="D57" s="9"/>
      <c r="E57" s="9"/>
      <c r="F57" s="10"/>
      <c r="G57" s="50"/>
      <c r="H57" s="16"/>
      <c r="I57" s="17"/>
      <c r="J57" s="17"/>
    </row>
    <row r="58" spans="2:10" ht="15.75" thickBot="1">
      <c r="B58" s="44" t="s">
        <v>48</v>
      </c>
      <c r="C58" s="44"/>
      <c r="D58" s="23"/>
      <c r="E58" s="36"/>
      <c r="F58" s="18">
        <f>SUM(F8:F57)</f>
        <v>36578082</v>
      </c>
      <c r="G58" s="19"/>
      <c r="H58" s="44" t="s">
        <v>48</v>
      </c>
      <c r="I58" s="44"/>
      <c r="J58" s="18">
        <f>SUM(J8:J57)</f>
        <v>36578082</v>
      </c>
    </row>
    <row r="59" spans="2:10" ht="15.75" thickTop="1"/>
  </sheetData>
  <autoFilter ref="B7:D54">
    <filterColumn colId="2">
      <filters>
        <filter val="Maintainence"/>
      </filters>
    </filterColumn>
  </autoFilter>
  <mergeCells count="7">
    <mergeCell ref="H58:I58"/>
    <mergeCell ref="G8:G57"/>
    <mergeCell ref="B58:C58"/>
    <mergeCell ref="B3:J3"/>
    <mergeCell ref="B4:J4"/>
    <mergeCell ref="B5:J5"/>
    <mergeCell ref="B6:J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B2:J60"/>
  <sheetViews>
    <sheetView topLeftCell="B4" zoomScale="130" zoomScaleNormal="130" workbookViewId="0">
      <selection activeCell="D6" sqref="B6:D56"/>
    </sheetView>
  </sheetViews>
  <sheetFormatPr defaultRowHeight="15"/>
  <cols>
    <col min="1" max="1" width="9.140625" style="6"/>
    <col min="2" max="2" width="34.42578125" style="6" customWidth="1"/>
    <col min="3" max="3" width="14.140625" style="7" bestFit="1" customWidth="1"/>
    <col min="4" max="5" width="14.140625" style="7" customWidth="1"/>
    <col min="6" max="6" width="13.5703125" style="7" bestFit="1" customWidth="1"/>
    <col min="7" max="7" width="4" style="6" customWidth="1"/>
    <col min="8" max="8" width="26.140625" style="6" customWidth="1"/>
    <col min="9" max="9" width="14.140625" style="7" bestFit="1" customWidth="1"/>
    <col min="10" max="10" width="13.5703125" style="7" bestFit="1" customWidth="1"/>
    <col min="11" max="16384" width="9.140625" style="6"/>
  </cols>
  <sheetData>
    <row r="2" spans="2:10" ht="20.100000000000001" customHeight="1">
      <c r="B2" s="45" t="s">
        <v>50</v>
      </c>
      <c r="C2" s="45"/>
      <c r="D2" s="45"/>
      <c r="E2" s="45"/>
      <c r="F2" s="45"/>
      <c r="G2" s="45"/>
      <c r="H2" s="45"/>
      <c r="I2" s="45"/>
      <c r="J2" s="45"/>
    </row>
    <row r="3" spans="2:10" ht="20.100000000000001" customHeight="1">
      <c r="B3" s="45" t="s">
        <v>57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76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9"/>
      <c r="C5" s="49"/>
      <c r="D5" s="49"/>
      <c r="E5" s="49"/>
      <c r="F5" s="49"/>
      <c r="G5" s="49"/>
      <c r="H5" s="49"/>
      <c r="I5" s="49"/>
      <c r="J5" s="49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/>
      <c r="F6" s="4" t="s">
        <v>49</v>
      </c>
      <c r="G6" s="4"/>
      <c r="H6" s="2" t="s">
        <v>53</v>
      </c>
      <c r="I6" s="4" t="s">
        <v>49</v>
      </c>
      <c r="J6" s="4" t="s">
        <v>49</v>
      </c>
    </row>
    <row r="7" spans="2:10" hidden="1">
      <c r="B7" s="8" t="s">
        <v>64</v>
      </c>
      <c r="C7" s="9">
        <f>1171500+82140</f>
        <v>1253640</v>
      </c>
      <c r="D7" s="9" t="s">
        <v>89</v>
      </c>
      <c r="F7" s="10"/>
      <c r="G7" s="46"/>
      <c r="H7" s="8" t="s">
        <v>1</v>
      </c>
      <c r="I7" s="9">
        <f>20705990-51900+20788361</f>
        <v>41442451</v>
      </c>
      <c r="J7" s="10"/>
    </row>
    <row r="8" spans="2:10" hidden="1">
      <c r="B8" s="8" t="s">
        <v>5</v>
      </c>
      <c r="C8" s="9">
        <f>450560+24145</f>
        <v>474705</v>
      </c>
      <c r="D8" s="9" t="s">
        <v>89</v>
      </c>
      <c r="F8" s="10"/>
      <c r="G8" s="47"/>
      <c r="H8" s="8" t="s">
        <v>77</v>
      </c>
      <c r="I8" s="9">
        <v>12795</v>
      </c>
      <c r="J8" s="10"/>
    </row>
    <row r="9" spans="2:10" hidden="1">
      <c r="B9" s="8" t="s">
        <v>7</v>
      </c>
      <c r="C9" s="9">
        <f>390267+12000</f>
        <v>402267</v>
      </c>
      <c r="D9" s="9" t="s">
        <v>89</v>
      </c>
      <c r="F9" s="10"/>
      <c r="G9" s="47"/>
      <c r="H9" s="8" t="s">
        <v>3</v>
      </c>
      <c r="I9" s="9">
        <f>93837+239896</f>
        <v>333733</v>
      </c>
      <c r="J9" s="10"/>
    </row>
    <row r="10" spans="2:10" hidden="1">
      <c r="B10" s="8" t="s">
        <v>69</v>
      </c>
      <c r="C10" s="9">
        <v>48000</v>
      </c>
      <c r="D10" s="9"/>
      <c r="F10" s="10"/>
      <c r="G10" s="47"/>
      <c r="H10" s="8" t="s">
        <v>4</v>
      </c>
      <c r="I10" s="9">
        <v>21344</v>
      </c>
      <c r="J10" s="10"/>
    </row>
    <row r="11" spans="2:10" hidden="1">
      <c r="B11" s="8" t="s">
        <v>9</v>
      </c>
      <c r="C11" s="9">
        <f>24273.25+15774.65</f>
        <v>40047.9</v>
      </c>
      <c r="D11" s="9"/>
      <c r="F11" s="10"/>
      <c r="G11" s="47"/>
      <c r="H11" s="8" t="s">
        <v>8</v>
      </c>
      <c r="I11" s="9">
        <f>729937+69071</f>
        <v>799008</v>
      </c>
      <c r="J11" s="10">
        <f>SUM(I7:I11)</f>
        <v>42609331</v>
      </c>
    </row>
    <row r="12" spans="2:10">
      <c r="B12" s="8" t="s">
        <v>10</v>
      </c>
      <c r="C12" s="9">
        <v>360585</v>
      </c>
      <c r="D12" s="9" t="s">
        <v>83</v>
      </c>
      <c r="F12" s="10"/>
      <c r="G12" s="47"/>
      <c r="H12" s="14"/>
      <c r="I12" s="13"/>
      <c r="J12" s="10"/>
    </row>
    <row r="13" spans="2:10" hidden="1">
      <c r="B13" s="8" t="s">
        <v>59</v>
      </c>
      <c r="C13" s="9">
        <f>41400+40000</f>
        <v>81400</v>
      </c>
      <c r="D13" s="9"/>
      <c r="F13" s="10"/>
      <c r="G13" s="47"/>
      <c r="H13" s="15"/>
      <c r="I13" s="9"/>
      <c r="J13" s="10"/>
    </row>
    <row r="14" spans="2:10" hidden="1">
      <c r="B14" s="8" t="s">
        <v>11</v>
      </c>
      <c r="C14" s="9">
        <v>57942</v>
      </c>
      <c r="D14" s="9" t="s">
        <v>89</v>
      </c>
      <c r="F14" s="10"/>
      <c r="G14" s="47"/>
      <c r="H14" s="16"/>
      <c r="I14" s="17"/>
      <c r="J14" s="17"/>
    </row>
    <row r="15" spans="2:10" hidden="1">
      <c r="B15" s="8" t="s">
        <v>12</v>
      </c>
      <c r="C15" s="9">
        <v>42035</v>
      </c>
      <c r="D15" s="9"/>
      <c r="F15" s="10"/>
      <c r="G15" s="47"/>
      <c r="H15" s="16"/>
      <c r="I15" s="17"/>
      <c r="J15" s="17"/>
    </row>
    <row r="16" spans="2:10" hidden="1">
      <c r="B16" s="8" t="s">
        <v>13</v>
      </c>
      <c r="C16" s="9">
        <f>1580+17800</f>
        <v>19380</v>
      </c>
      <c r="D16" s="9"/>
      <c r="F16" s="10"/>
      <c r="G16" s="47"/>
      <c r="H16" s="16"/>
      <c r="I16" s="17"/>
      <c r="J16" s="17"/>
    </row>
    <row r="17" spans="2:10" hidden="1">
      <c r="B17" s="8" t="s">
        <v>70</v>
      </c>
      <c r="C17" s="9">
        <v>750986</v>
      </c>
      <c r="D17" s="9" t="s">
        <v>89</v>
      </c>
      <c r="F17" s="10"/>
      <c r="G17" s="47"/>
      <c r="H17" s="16"/>
      <c r="I17" s="17"/>
      <c r="J17" s="17"/>
    </row>
    <row r="18" spans="2:10" hidden="1">
      <c r="B18" s="8" t="s">
        <v>14</v>
      </c>
      <c r="C18" s="9">
        <v>105097</v>
      </c>
      <c r="D18" s="9"/>
      <c r="F18" s="10"/>
      <c r="G18" s="47"/>
      <c r="H18" s="16"/>
      <c r="I18" s="17"/>
      <c r="J18" s="17"/>
    </row>
    <row r="19" spans="2:10" hidden="1">
      <c r="B19" s="8" t="s">
        <v>60</v>
      </c>
      <c r="C19" s="9">
        <v>333664</v>
      </c>
      <c r="D19" s="9" t="s">
        <v>89</v>
      </c>
      <c r="F19" s="10"/>
      <c r="G19" s="47"/>
      <c r="H19" s="16"/>
      <c r="I19" s="17"/>
      <c r="J19" s="17"/>
    </row>
    <row r="20" spans="2:10" hidden="1">
      <c r="B20" s="8" t="s">
        <v>16</v>
      </c>
      <c r="C20" s="9">
        <f>169323+276070</f>
        <v>445393</v>
      </c>
      <c r="D20" s="9"/>
      <c r="F20" s="10"/>
      <c r="G20" s="47"/>
      <c r="H20" s="16"/>
      <c r="I20" s="17"/>
      <c r="J20" s="17"/>
    </row>
    <row r="21" spans="2:10" hidden="1">
      <c r="B21" s="8" t="s">
        <v>17</v>
      </c>
      <c r="C21" s="9">
        <v>239029</v>
      </c>
      <c r="D21" s="9" t="s">
        <v>89</v>
      </c>
      <c r="F21" s="10"/>
      <c r="G21" s="47"/>
      <c r="H21" s="16"/>
      <c r="I21" s="17"/>
      <c r="J21" s="17"/>
    </row>
    <row r="22" spans="2:10">
      <c r="B22" s="8" t="s">
        <v>18</v>
      </c>
      <c r="C22" s="9">
        <v>57000</v>
      </c>
      <c r="D22" s="9" t="s">
        <v>83</v>
      </c>
      <c r="F22" s="10"/>
      <c r="G22" s="47"/>
      <c r="H22" s="16"/>
      <c r="I22" s="17"/>
      <c r="J22" s="17"/>
    </row>
    <row r="23" spans="2:10" hidden="1">
      <c r="B23" s="8" t="s">
        <v>19</v>
      </c>
      <c r="C23" s="9">
        <v>122455</v>
      </c>
      <c r="D23" s="9" t="s">
        <v>89</v>
      </c>
      <c r="F23" s="10"/>
      <c r="G23" s="47"/>
      <c r="H23" s="16"/>
      <c r="I23" s="17"/>
      <c r="J23" s="17"/>
    </row>
    <row r="24" spans="2:10" hidden="1">
      <c r="B24" s="8" t="s">
        <v>20</v>
      </c>
      <c r="C24" s="9">
        <f>35724+87174</f>
        <v>122898</v>
      </c>
      <c r="D24" s="9"/>
      <c r="F24" s="10"/>
      <c r="G24" s="47"/>
      <c r="H24" s="16"/>
      <c r="I24" s="17"/>
      <c r="J24" s="17"/>
    </row>
    <row r="25" spans="2:10" hidden="1">
      <c r="B25" s="8" t="s">
        <v>21</v>
      </c>
      <c r="C25" s="9">
        <v>242617</v>
      </c>
      <c r="D25" s="9" t="s">
        <v>89</v>
      </c>
      <c r="F25" s="10"/>
      <c r="G25" s="47"/>
      <c r="H25" s="16"/>
      <c r="I25" s="17"/>
      <c r="J25" s="17"/>
    </row>
    <row r="26" spans="2:10" hidden="1">
      <c r="B26" s="8" t="s">
        <v>22</v>
      </c>
      <c r="C26" s="9">
        <v>1566462</v>
      </c>
      <c r="D26" s="9" t="s">
        <v>89</v>
      </c>
      <c r="F26" s="10"/>
      <c r="G26" s="47"/>
      <c r="H26" s="16"/>
      <c r="I26" s="17"/>
      <c r="J26" s="17"/>
    </row>
    <row r="27" spans="2:10" hidden="1">
      <c r="B27" s="8" t="s">
        <v>23</v>
      </c>
      <c r="C27" s="9">
        <v>506586</v>
      </c>
      <c r="D27" s="9" t="s">
        <v>89</v>
      </c>
      <c r="F27" s="10"/>
      <c r="G27" s="47"/>
      <c r="H27" s="16"/>
      <c r="I27" s="17"/>
      <c r="J27" s="17"/>
    </row>
    <row r="28" spans="2:10" hidden="1">
      <c r="B28" s="8" t="s">
        <v>24</v>
      </c>
      <c r="C28" s="9">
        <f>175667+17100+20250+22500</f>
        <v>235517</v>
      </c>
      <c r="D28" s="9" t="s">
        <v>89</v>
      </c>
      <c r="F28" s="10"/>
      <c r="G28" s="47"/>
      <c r="H28" s="16"/>
      <c r="I28" s="17"/>
      <c r="J28" s="17"/>
    </row>
    <row r="29" spans="2:10" hidden="1">
      <c r="B29" s="8" t="s">
        <v>25</v>
      </c>
      <c r="C29" s="9">
        <f>460938+18138</f>
        <v>479076</v>
      </c>
      <c r="D29" s="9" t="s">
        <v>89</v>
      </c>
      <c r="F29" s="10"/>
      <c r="G29" s="47"/>
      <c r="H29" s="16"/>
      <c r="I29" s="17"/>
      <c r="J29" s="17"/>
    </row>
    <row r="30" spans="2:10" hidden="1">
      <c r="B30" s="8" t="s">
        <v>61</v>
      </c>
      <c r="C30" s="9">
        <v>85050</v>
      </c>
      <c r="D30" s="9"/>
      <c r="F30" s="10"/>
      <c r="G30" s="47"/>
      <c r="H30" s="16"/>
      <c r="I30" s="17"/>
      <c r="J30" s="17"/>
    </row>
    <row r="31" spans="2:10" hidden="1">
      <c r="B31" s="8" t="s">
        <v>26</v>
      </c>
      <c r="C31" s="9">
        <v>1774</v>
      </c>
      <c r="D31" s="9"/>
      <c r="F31" s="10"/>
      <c r="G31" s="47"/>
      <c r="H31" s="16"/>
      <c r="I31" s="17"/>
      <c r="J31" s="17"/>
    </row>
    <row r="32" spans="2:10" hidden="1">
      <c r="B32" s="8" t="s">
        <v>27</v>
      </c>
      <c r="C32" s="9">
        <f>80360+52175</f>
        <v>132535</v>
      </c>
      <c r="D32" s="9" t="s">
        <v>89</v>
      </c>
      <c r="F32" s="10"/>
      <c r="G32" s="47"/>
      <c r="H32" s="16"/>
      <c r="I32" s="17"/>
      <c r="J32" s="17"/>
    </row>
    <row r="33" spans="2:10" hidden="1">
      <c r="B33" s="8" t="s">
        <v>28</v>
      </c>
      <c r="C33" s="9">
        <v>53758</v>
      </c>
      <c r="D33" s="9"/>
      <c r="F33" s="10"/>
      <c r="G33" s="47"/>
      <c r="H33" s="16"/>
      <c r="I33" s="17"/>
      <c r="J33" s="17"/>
    </row>
    <row r="34" spans="2:10" hidden="1">
      <c r="B34" s="8" t="s">
        <v>29</v>
      </c>
      <c r="C34" s="9">
        <v>99298</v>
      </c>
      <c r="D34" s="9"/>
      <c r="F34" s="10"/>
      <c r="G34" s="47"/>
      <c r="H34" s="16"/>
      <c r="I34" s="17"/>
      <c r="J34" s="17"/>
    </row>
    <row r="35" spans="2:10" hidden="1">
      <c r="B35" s="8" t="s">
        <v>30</v>
      </c>
      <c r="C35" s="9">
        <v>64750</v>
      </c>
      <c r="D35" s="9" t="s">
        <v>89</v>
      </c>
      <c r="F35" s="10"/>
      <c r="G35" s="47"/>
      <c r="H35" s="16"/>
      <c r="I35" s="17"/>
      <c r="J35" s="17"/>
    </row>
    <row r="36" spans="2:10" hidden="1">
      <c r="B36" s="8" t="s">
        <v>31</v>
      </c>
      <c r="C36" s="9">
        <v>129060</v>
      </c>
      <c r="D36" s="9" t="s">
        <v>89</v>
      </c>
      <c r="F36" s="10"/>
      <c r="G36" s="47"/>
      <c r="H36" s="16"/>
      <c r="I36" s="17"/>
      <c r="J36" s="17"/>
    </row>
    <row r="37" spans="2:10" hidden="1">
      <c r="B37" s="8" t="s">
        <v>32</v>
      </c>
      <c r="C37" s="9">
        <v>704117</v>
      </c>
      <c r="D37" s="9" t="s">
        <v>89</v>
      </c>
      <c r="F37" s="10"/>
      <c r="G37" s="47"/>
      <c r="H37" s="16"/>
      <c r="I37" s="17"/>
      <c r="J37" s="17"/>
    </row>
    <row r="38" spans="2:10" hidden="1">
      <c r="B38" s="8" t="s">
        <v>33</v>
      </c>
      <c r="C38" s="9">
        <v>1639</v>
      </c>
      <c r="D38" s="9" t="s">
        <v>89</v>
      </c>
      <c r="F38" s="10"/>
      <c r="G38" s="47"/>
      <c r="H38" s="16"/>
      <c r="I38" s="17"/>
      <c r="J38" s="17"/>
    </row>
    <row r="39" spans="2:10" hidden="1">
      <c r="B39" s="8" t="s">
        <v>34</v>
      </c>
      <c r="C39" s="9">
        <v>1701575</v>
      </c>
      <c r="D39" s="9" t="s">
        <v>89</v>
      </c>
      <c r="F39" s="10"/>
      <c r="G39" s="47"/>
      <c r="H39" s="16"/>
      <c r="I39" s="17"/>
      <c r="J39" s="17"/>
    </row>
    <row r="40" spans="2:10" hidden="1">
      <c r="B40" s="8" t="s">
        <v>35</v>
      </c>
      <c r="C40" s="9">
        <f>710465+19500</f>
        <v>729965</v>
      </c>
      <c r="D40" s="9" t="s">
        <v>89</v>
      </c>
      <c r="F40" s="10"/>
      <c r="G40" s="47"/>
      <c r="H40" s="16"/>
      <c r="I40" s="17"/>
      <c r="J40" s="17"/>
    </row>
    <row r="41" spans="2:10" hidden="1">
      <c r="B41" s="8" t="s">
        <v>36</v>
      </c>
      <c r="C41" s="9">
        <v>119775</v>
      </c>
      <c r="D41" s="9" t="s">
        <v>89</v>
      </c>
      <c r="F41" s="10"/>
      <c r="G41" s="47"/>
      <c r="H41" s="16"/>
      <c r="I41" s="17"/>
      <c r="J41" s="17"/>
    </row>
    <row r="42" spans="2:10">
      <c r="B42" s="8" t="s">
        <v>65</v>
      </c>
      <c r="C42" s="9">
        <f>696376+194268</f>
        <v>890644</v>
      </c>
      <c r="D42" s="9" t="s">
        <v>83</v>
      </c>
      <c r="F42" s="10"/>
      <c r="G42" s="47"/>
      <c r="H42" s="16"/>
      <c r="I42" s="17"/>
      <c r="J42" s="17"/>
    </row>
    <row r="43" spans="2:10" hidden="1">
      <c r="B43" s="8" t="s">
        <v>75</v>
      </c>
      <c r="C43" s="9">
        <v>55500</v>
      </c>
      <c r="D43" s="9"/>
      <c r="F43" s="10"/>
      <c r="G43" s="47"/>
      <c r="H43" s="16"/>
      <c r="I43" s="17"/>
      <c r="J43" s="17"/>
    </row>
    <row r="44" spans="2:10" hidden="1">
      <c r="B44" s="8" t="s">
        <v>38</v>
      </c>
      <c r="C44" s="9">
        <v>20260080</v>
      </c>
      <c r="D44" s="9"/>
      <c r="F44" s="10"/>
      <c r="G44" s="47"/>
      <c r="H44" s="16"/>
      <c r="I44" s="17"/>
      <c r="J44" s="17"/>
    </row>
    <row r="45" spans="2:10" hidden="1">
      <c r="B45" s="8" t="s">
        <v>39</v>
      </c>
      <c r="C45" s="9">
        <f>42000+91459</f>
        <v>133459</v>
      </c>
      <c r="D45" s="9"/>
      <c r="F45" s="10"/>
      <c r="G45" s="47"/>
      <c r="H45" s="16"/>
      <c r="I45" s="17"/>
      <c r="J45" s="17"/>
    </row>
    <row r="46" spans="2:10" hidden="1">
      <c r="B46" s="8" t="s">
        <v>40</v>
      </c>
      <c r="C46" s="9">
        <v>433626</v>
      </c>
      <c r="D46" s="9"/>
      <c r="F46" s="10"/>
      <c r="G46" s="47"/>
      <c r="H46" s="16"/>
      <c r="I46" s="17"/>
      <c r="J46" s="17"/>
    </row>
    <row r="47" spans="2:10" hidden="1">
      <c r="B47" s="8" t="s">
        <v>41</v>
      </c>
      <c r="C47" s="9">
        <f>258288+41137</f>
        <v>299425</v>
      </c>
      <c r="D47" s="9"/>
      <c r="F47" s="10"/>
      <c r="G47" s="47"/>
      <c r="H47" s="16"/>
      <c r="I47" s="17"/>
      <c r="J47" s="17"/>
    </row>
    <row r="48" spans="2:10" hidden="1">
      <c r="B48" s="8" t="s">
        <v>42</v>
      </c>
      <c r="C48" s="9">
        <f>275951+18400+254065</f>
        <v>548416</v>
      </c>
      <c r="D48" s="9" t="s">
        <v>89</v>
      </c>
      <c r="F48" s="10"/>
      <c r="G48" s="47"/>
      <c r="H48" s="16"/>
      <c r="I48" s="17"/>
      <c r="J48" s="17"/>
    </row>
    <row r="49" spans="2:10" hidden="1">
      <c r="B49" s="8" t="s">
        <v>43</v>
      </c>
      <c r="C49" s="9">
        <v>28000</v>
      </c>
      <c r="D49" s="9"/>
      <c r="F49" s="10"/>
      <c r="G49" s="47"/>
      <c r="H49" s="16"/>
      <c r="I49" s="17"/>
      <c r="J49" s="17"/>
    </row>
    <row r="50" spans="2:10" hidden="1">
      <c r="B50" s="8" t="s">
        <v>44</v>
      </c>
      <c r="C50" s="9">
        <v>165930</v>
      </c>
      <c r="D50" s="9" t="s">
        <v>89</v>
      </c>
      <c r="F50" s="10"/>
      <c r="G50" s="47"/>
      <c r="H50" s="16"/>
      <c r="I50" s="17"/>
      <c r="J50" s="17"/>
    </row>
    <row r="51" spans="2:10" hidden="1">
      <c r="B51" s="8" t="s">
        <v>45</v>
      </c>
      <c r="C51" s="9">
        <v>202750</v>
      </c>
      <c r="D51" s="9" t="s">
        <v>89</v>
      </c>
      <c r="F51" s="10"/>
      <c r="G51" s="47"/>
      <c r="H51" s="16"/>
      <c r="I51" s="17"/>
      <c r="J51" s="17"/>
    </row>
    <row r="52" spans="2:10" hidden="1">
      <c r="B52" s="8" t="s">
        <v>0</v>
      </c>
      <c r="C52" s="9">
        <v>56209</v>
      </c>
      <c r="D52" s="9" t="s">
        <v>89</v>
      </c>
      <c r="F52" s="10"/>
      <c r="G52" s="47"/>
      <c r="H52" s="16"/>
      <c r="I52" s="17"/>
      <c r="J52" s="17"/>
    </row>
    <row r="53" spans="2:10" hidden="1">
      <c r="B53" s="8" t="s">
        <v>55</v>
      </c>
      <c r="C53" s="9">
        <f>212026+42700</f>
        <v>254726</v>
      </c>
      <c r="D53" s="9" t="s">
        <v>89</v>
      </c>
      <c r="F53" s="10"/>
      <c r="G53" s="47"/>
      <c r="H53" s="16"/>
      <c r="I53" s="17"/>
      <c r="J53" s="17"/>
    </row>
    <row r="54" spans="2:10">
      <c r="B54" s="8" t="s">
        <v>46</v>
      </c>
      <c r="C54" s="9">
        <f>337800+13543+1229571</f>
        <v>1580914</v>
      </c>
      <c r="D54" s="9" t="s">
        <v>83</v>
      </c>
      <c r="F54" s="10"/>
      <c r="G54" s="47"/>
      <c r="H54" s="16"/>
      <c r="I54" s="17"/>
      <c r="J54" s="17"/>
    </row>
    <row r="55" spans="2:10" hidden="1">
      <c r="B55" s="8" t="s">
        <v>47</v>
      </c>
      <c r="C55" s="9">
        <v>123770</v>
      </c>
      <c r="D55" s="9" t="s">
        <v>89</v>
      </c>
      <c r="F55" s="10">
        <f>SUM(C7:C55)</f>
        <v>36843526.899999999</v>
      </c>
      <c r="G55" s="47"/>
      <c r="H55" s="16"/>
      <c r="I55" s="17"/>
      <c r="J55" s="17"/>
    </row>
    <row r="56" spans="2:10" hidden="1">
      <c r="B56" s="14"/>
      <c r="C56" s="13"/>
      <c r="D56" s="13"/>
      <c r="F56" s="10"/>
      <c r="G56" s="47"/>
      <c r="H56" s="16"/>
      <c r="I56" s="17"/>
      <c r="J56" s="17"/>
    </row>
    <row r="57" spans="2:10" hidden="1">
      <c r="B57" s="20" t="s">
        <v>56</v>
      </c>
      <c r="C57" s="13"/>
      <c r="D57" s="13"/>
      <c r="F57" s="10">
        <f>J59-F55</f>
        <v>5765804.1000000015</v>
      </c>
      <c r="G57" s="47"/>
      <c r="H57" s="16"/>
      <c r="I57" s="17"/>
      <c r="J57" s="17"/>
    </row>
    <row r="58" spans="2:10">
      <c r="B58" s="14"/>
      <c r="C58" s="13"/>
      <c r="D58" s="13"/>
      <c r="E58" s="13"/>
      <c r="F58" s="10"/>
      <c r="G58" s="48"/>
      <c r="H58" s="16"/>
      <c r="I58" s="17"/>
      <c r="J58" s="17"/>
    </row>
    <row r="59" spans="2:10" ht="15.75" thickBot="1">
      <c r="B59" s="51" t="s">
        <v>48</v>
      </c>
      <c r="C59" s="52"/>
      <c r="D59" s="24"/>
      <c r="E59" s="37"/>
      <c r="F59" s="18">
        <f>SUM(F7:F58)</f>
        <v>42609331</v>
      </c>
      <c r="G59" s="19"/>
      <c r="H59" s="51" t="s">
        <v>48</v>
      </c>
      <c r="I59" s="52"/>
      <c r="J59" s="18">
        <f>SUM(J7:J58)</f>
        <v>42609331</v>
      </c>
    </row>
    <row r="60" spans="2:10" ht="15.75" thickTop="1"/>
  </sheetData>
  <autoFilter ref="B6:D57">
    <filterColumn colId="2">
      <filters>
        <filter val="Maintainence"/>
      </filters>
    </filterColumn>
  </autoFilter>
  <mergeCells count="7">
    <mergeCell ref="B59:C59"/>
    <mergeCell ref="H59:I59"/>
    <mergeCell ref="G7:G58"/>
    <mergeCell ref="B2:J2"/>
    <mergeCell ref="B3:J3"/>
    <mergeCell ref="B4:J4"/>
    <mergeCell ref="B5:J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/>
  <dimension ref="B2:J57"/>
  <sheetViews>
    <sheetView topLeftCell="A6" zoomScale="110" zoomScaleNormal="110" workbookViewId="0">
      <selection activeCell="D6" sqref="B6:D52"/>
    </sheetView>
  </sheetViews>
  <sheetFormatPr defaultRowHeight="15"/>
  <cols>
    <col min="1" max="1" width="9.140625" style="6"/>
    <col min="2" max="2" width="28.85546875" style="6" bestFit="1" customWidth="1"/>
    <col min="3" max="4" width="14.5703125" style="5" customWidth="1"/>
    <col min="5" max="5" width="13.85546875" style="5" customWidth="1"/>
    <col min="6" max="6" width="3" style="6" customWidth="1"/>
    <col min="7" max="7" width="25.7109375" style="6" customWidth="1"/>
    <col min="8" max="9" width="14.42578125" style="5" customWidth="1"/>
    <col min="10" max="10" width="13.5703125" style="5" customWidth="1"/>
    <col min="11" max="16384" width="9.140625" style="6"/>
  </cols>
  <sheetData>
    <row r="2" spans="2:10" ht="20.100000000000001" customHeight="1">
      <c r="B2" s="45" t="s">
        <v>50</v>
      </c>
      <c r="C2" s="45"/>
      <c r="D2" s="45"/>
      <c r="E2" s="45"/>
      <c r="F2" s="45"/>
      <c r="G2" s="45"/>
      <c r="H2" s="45"/>
      <c r="I2" s="45"/>
      <c r="J2" s="45"/>
    </row>
    <row r="3" spans="2:10" ht="20.100000000000001" customHeight="1">
      <c r="B3" s="45" t="s">
        <v>57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79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9"/>
      <c r="C5" s="49"/>
      <c r="D5" s="49"/>
      <c r="E5" s="49"/>
      <c r="F5" s="49"/>
      <c r="G5" s="49"/>
      <c r="H5" s="49"/>
      <c r="I5" s="49"/>
      <c r="J5" s="49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49</v>
      </c>
      <c r="F6" s="4"/>
      <c r="G6" s="2" t="s">
        <v>53</v>
      </c>
      <c r="H6" s="4" t="s">
        <v>49</v>
      </c>
      <c r="I6" s="4"/>
      <c r="J6" s="4" t="s">
        <v>49</v>
      </c>
    </row>
    <row r="7" spans="2:10" hidden="1">
      <c r="B7" s="8" t="s">
        <v>63</v>
      </c>
      <c r="C7" s="9">
        <f>1336145+50710</f>
        <v>1386855</v>
      </c>
      <c r="D7" s="10" t="s">
        <v>89</v>
      </c>
      <c r="F7" s="11"/>
      <c r="G7" s="8" t="s">
        <v>1</v>
      </c>
      <c r="H7" s="9">
        <f>21214215-1500+25290279</f>
        <v>46502994</v>
      </c>
      <c r="I7" s="9"/>
      <c r="J7" s="10"/>
    </row>
    <row r="8" spans="2:10" hidden="1">
      <c r="B8" s="8" t="s">
        <v>5</v>
      </c>
      <c r="C8" s="9">
        <f>372421+50000</f>
        <v>422421</v>
      </c>
      <c r="D8" s="10" t="s">
        <v>89</v>
      </c>
      <c r="F8" s="11"/>
      <c r="G8" s="8" t="s">
        <v>3</v>
      </c>
      <c r="H8" s="9">
        <f>21937+63362</f>
        <v>85299</v>
      </c>
      <c r="I8" s="9"/>
      <c r="J8" s="10"/>
    </row>
    <row r="9" spans="2:10" hidden="1">
      <c r="B9" s="8" t="s">
        <v>7</v>
      </c>
      <c r="C9" s="9">
        <f>557634+12000</f>
        <v>569634</v>
      </c>
      <c r="D9" s="10" t="s">
        <v>89</v>
      </c>
      <c r="F9" s="11"/>
      <c r="G9" s="8" t="s">
        <v>78</v>
      </c>
      <c r="H9" s="9">
        <v>605982</v>
      </c>
      <c r="I9" s="9"/>
      <c r="J9" s="10"/>
    </row>
    <row r="10" spans="2:10" hidden="1">
      <c r="B10" s="8" t="s">
        <v>9</v>
      </c>
      <c r="C10" s="9">
        <f>12656.11+5135.98</f>
        <v>17792.09</v>
      </c>
      <c r="D10" s="10"/>
      <c r="F10" s="11"/>
      <c r="G10" s="8" t="s">
        <v>8</v>
      </c>
      <c r="H10" s="9">
        <f>1045369.45+22681</f>
        <v>1068050.45</v>
      </c>
      <c r="I10" s="9"/>
      <c r="J10" s="10">
        <f>SUM(H7:H10)</f>
        <v>48262325.450000003</v>
      </c>
    </row>
    <row r="11" spans="2:10">
      <c r="B11" s="8" t="s">
        <v>10</v>
      </c>
      <c r="C11" s="9">
        <v>54781</v>
      </c>
      <c r="D11" s="10" t="s">
        <v>83</v>
      </c>
      <c r="F11" s="11"/>
      <c r="G11" s="14"/>
      <c r="H11" s="21"/>
      <c r="I11" s="21"/>
      <c r="J11" s="10"/>
    </row>
    <row r="12" spans="2:10" hidden="1">
      <c r="B12" s="8" t="s">
        <v>11</v>
      </c>
      <c r="C12" s="9">
        <v>97502</v>
      </c>
      <c r="D12" s="10"/>
      <c r="F12" s="11"/>
      <c r="G12" s="16"/>
      <c r="H12" s="17"/>
      <c r="I12" s="17"/>
      <c r="J12" s="17"/>
    </row>
    <row r="13" spans="2:10" hidden="1">
      <c r="B13" s="8" t="s">
        <v>12</v>
      </c>
      <c r="C13" s="9">
        <v>20892</v>
      </c>
      <c r="D13" s="10" t="s">
        <v>89</v>
      </c>
      <c r="F13" s="11"/>
      <c r="G13" s="16"/>
      <c r="H13" s="17"/>
      <c r="I13" s="17"/>
      <c r="J13" s="17"/>
    </row>
    <row r="14" spans="2:10" hidden="1">
      <c r="B14" s="8" t="s">
        <v>13</v>
      </c>
      <c r="C14" s="9">
        <f>1290+17800</f>
        <v>19090</v>
      </c>
      <c r="D14" s="10" t="s">
        <v>89</v>
      </c>
      <c r="F14" s="11"/>
      <c r="G14" s="16"/>
      <c r="H14" s="17"/>
      <c r="I14" s="17"/>
      <c r="J14" s="17"/>
    </row>
    <row r="15" spans="2:10" hidden="1">
      <c r="B15" s="8" t="s">
        <v>70</v>
      </c>
      <c r="C15" s="9">
        <v>831251</v>
      </c>
      <c r="D15" s="10" t="s">
        <v>89</v>
      </c>
      <c r="F15" s="11"/>
      <c r="G15" s="16"/>
      <c r="H15" s="17"/>
      <c r="I15" s="17"/>
      <c r="J15" s="17"/>
    </row>
    <row r="16" spans="2:10" hidden="1">
      <c r="B16" s="8" t="s">
        <v>14</v>
      </c>
      <c r="C16" s="9">
        <v>58076</v>
      </c>
      <c r="D16" s="10"/>
      <c r="F16" s="11"/>
      <c r="G16" s="16"/>
      <c r="H16" s="17"/>
      <c r="I16" s="17"/>
      <c r="J16" s="17"/>
    </row>
    <row r="17" spans="2:10" hidden="1">
      <c r="B17" s="8" t="s">
        <v>60</v>
      </c>
      <c r="C17" s="9">
        <v>644030</v>
      </c>
      <c r="D17" s="10" t="s">
        <v>89</v>
      </c>
      <c r="F17" s="11"/>
      <c r="G17" s="16"/>
      <c r="H17" s="17"/>
      <c r="I17" s="17"/>
      <c r="J17" s="17"/>
    </row>
    <row r="18" spans="2:10" hidden="1">
      <c r="B18" s="8" t="s">
        <v>73</v>
      </c>
      <c r="C18" s="9">
        <f>17426+265349</f>
        <v>282775</v>
      </c>
      <c r="D18" s="10"/>
      <c r="F18" s="11"/>
      <c r="G18" s="16"/>
      <c r="H18" s="17"/>
      <c r="I18" s="17"/>
      <c r="J18" s="17"/>
    </row>
    <row r="19" spans="2:10" hidden="1">
      <c r="B19" s="8" t="s">
        <v>17</v>
      </c>
      <c r="C19" s="9">
        <v>355624</v>
      </c>
      <c r="D19" s="10" t="s">
        <v>89</v>
      </c>
      <c r="F19" s="11"/>
      <c r="G19" s="16"/>
      <c r="H19" s="17"/>
      <c r="I19" s="17"/>
      <c r="J19" s="17"/>
    </row>
    <row r="20" spans="2:10">
      <c r="B20" s="8" t="s">
        <v>18</v>
      </c>
      <c r="C20" s="9">
        <v>73400</v>
      </c>
      <c r="D20" s="10" t="s">
        <v>83</v>
      </c>
      <c r="F20" s="11"/>
      <c r="G20" s="16"/>
      <c r="H20" s="17"/>
      <c r="I20" s="17"/>
      <c r="J20" s="17"/>
    </row>
    <row r="21" spans="2:10" hidden="1">
      <c r="B21" s="8" t="s">
        <v>19</v>
      </c>
      <c r="C21" s="9">
        <v>146627</v>
      </c>
      <c r="D21" s="10" t="s">
        <v>89</v>
      </c>
      <c r="F21" s="11"/>
      <c r="G21" s="16"/>
      <c r="H21" s="17"/>
      <c r="I21" s="17"/>
      <c r="J21" s="17"/>
    </row>
    <row r="22" spans="2:10" hidden="1">
      <c r="B22" s="8" t="s">
        <v>20</v>
      </c>
      <c r="C22" s="9">
        <f>32738+89733</f>
        <v>122471</v>
      </c>
      <c r="D22" s="10"/>
      <c r="F22" s="11"/>
      <c r="G22" s="16"/>
      <c r="H22" s="17"/>
      <c r="I22" s="17"/>
      <c r="J22" s="17"/>
    </row>
    <row r="23" spans="2:10" hidden="1">
      <c r="B23" s="8" t="s">
        <v>21</v>
      </c>
      <c r="C23" s="9">
        <v>63071</v>
      </c>
      <c r="D23" s="10" t="s">
        <v>89</v>
      </c>
      <c r="F23" s="11"/>
      <c r="G23" s="16"/>
      <c r="H23" s="17"/>
      <c r="I23" s="17"/>
      <c r="J23" s="17"/>
    </row>
    <row r="24" spans="2:10" hidden="1">
      <c r="B24" s="8" t="s">
        <v>74</v>
      </c>
      <c r="C24" s="9">
        <f>84885+8895</f>
        <v>93780</v>
      </c>
      <c r="D24" s="10"/>
      <c r="F24" s="11"/>
      <c r="G24" s="16"/>
      <c r="H24" s="17"/>
      <c r="I24" s="17"/>
      <c r="J24" s="17"/>
    </row>
    <row r="25" spans="2:10" hidden="1">
      <c r="B25" s="8" t="s">
        <v>22</v>
      </c>
      <c r="C25" s="9">
        <v>614284</v>
      </c>
      <c r="D25" s="10" t="s">
        <v>89</v>
      </c>
      <c r="F25" s="11"/>
      <c r="G25" s="16"/>
      <c r="H25" s="17"/>
      <c r="I25" s="17"/>
      <c r="J25" s="17"/>
    </row>
    <row r="26" spans="2:10" hidden="1">
      <c r="B26" s="8" t="s">
        <v>23</v>
      </c>
      <c r="C26" s="9">
        <v>566726</v>
      </c>
      <c r="D26" s="10" t="s">
        <v>89</v>
      </c>
      <c r="F26" s="11"/>
      <c r="G26" s="16"/>
      <c r="H26" s="17"/>
      <c r="I26" s="17"/>
      <c r="J26" s="17"/>
    </row>
    <row r="27" spans="2:10" hidden="1">
      <c r="B27" s="8" t="s">
        <v>24</v>
      </c>
      <c r="C27" s="9">
        <f>172972+15600+20250+18750</f>
        <v>227572</v>
      </c>
      <c r="D27" s="10" t="s">
        <v>89</v>
      </c>
      <c r="F27" s="11"/>
      <c r="G27" s="16"/>
      <c r="H27" s="17"/>
      <c r="I27" s="17"/>
      <c r="J27" s="17"/>
    </row>
    <row r="28" spans="2:10" hidden="1">
      <c r="B28" s="8" t="s">
        <v>25</v>
      </c>
      <c r="C28" s="9">
        <f>270795+32155</f>
        <v>302950</v>
      </c>
      <c r="D28" s="10" t="s">
        <v>89</v>
      </c>
      <c r="F28" s="11"/>
      <c r="G28" s="16"/>
      <c r="H28" s="17"/>
      <c r="I28" s="17"/>
      <c r="J28" s="17"/>
    </row>
    <row r="29" spans="2:10" hidden="1">
      <c r="B29" s="8" t="s">
        <v>26</v>
      </c>
      <c r="C29" s="9">
        <v>12871</v>
      </c>
      <c r="D29" s="10"/>
      <c r="F29" s="11"/>
      <c r="G29" s="16"/>
      <c r="H29" s="17"/>
      <c r="I29" s="17"/>
      <c r="J29" s="17"/>
    </row>
    <row r="30" spans="2:10" hidden="1">
      <c r="B30" s="8" t="s">
        <v>27</v>
      </c>
      <c r="C30" s="9">
        <v>87349</v>
      </c>
      <c r="D30" s="10" t="s">
        <v>89</v>
      </c>
      <c r="F30" s="11"/>
      <c r="G30" s="16"/>
      <c r="H30" s="17"/>
      <c r="I30" s="17"/>
      <c r="J30" s="17"/>
    </row>
    <row r="31" spans="2:10" hidden="1">
      <c r="B31" s="8" t="s">
        <v>28</v>
      </c>
      <c r="C31" s="9">
        <v>9005</v>
      </c>
      <c r="D31" s="10"/>
      <c r="F31" s="11"/>
      <c r="G31" s="16"/>
      <c r="H31" s="17"/>
      <c r="I31" s="17"/>
      <c r="J31" s="17"/>
    </row>
    <row r="32" spans="2:10" hidden="1">
      <c r="B32" s="8" t="s">
        <v>29</v>
      </c>
      <c r="C32" s="9">
        <v>302377</v>
      </c>
      <c r="D32" s="10"/>
      <c r="F32" s="11"/>
      <c r="G32" s="16"/>
      <c r="H32" s="17"/>
      <c r="I32" s="17"/>
      <c r="J32" s="17"/>
    </row>
    <row r="33" spans="2:10" hidden="1">
      <c r="B33" s="8" t="s">
        <v>30</v>
      </c>
      <c r="C33" s="9">
        <v>92715</v>
      </c>
      <c r="D33" s="10" t="s">
        <v>89</v>
      </c>
      <c r="F33" s="11"/>
      <c r="G33" s="16"/>
      <c r="H33" s="17"/>
      <c r="I33" s="17"/>
      <c r="J33" s="17"/>
    </row>
    <row r="34" spans="2:10" hidden="1">
      <c r="B34" s="8" t="s">
        <v>31</v>
      </c>
      <c r="C34" s="9">
        <v>130760</v>
      </c>
      <c r="D34" s="10" t="s">
        <v>89</v>
      </c>
      <c r="F34" s="11"/>
      <c r="G34" s="16"/>
      <c r="H34" s="17"/>
      <c r="I34" s="17"/>
      <c r="J34" s="17"/>
    </row>
    <row r="35" spans="2:10" hidden="1">
      <c r="B35" s="8" t="s">
        <v>32</v>
      </c>
      <c r="C35" s="9">
        <v>628104</v>
      </c>
      <c r="D35" s="10" t="s">
        <v>89</v>
      </c>
      <c r="F35" s="11"/>
      <c r="G35" s="16"/>
      <c r="H35" s="17"/>
      <c r="I35" s="17"/>
      <c r="J35" s="17"/>
    </row>
    <row r="36" spans="2:10" hidden="1">
      <c r="B36" s="8" t="s">
        <v>33</v>
      </c>
      <c r="C36" s="9">
        <v>5000</v>
      </c>
      <c r="D36" s="10" t="s">
        <v>89</v>
      </c>
      <c r="F36" s="11"/>
      <c r="G36" s="16"/>
      <c r="H36" s="17"/>
      <c r="I36" s="17"/>
      <c r="J36" s="17"/>
    </row>
    <row r="37" spans="2:10" hidden="1">
      <c r="B37" s="8" t="s">
        <v>34</v>
      </c>
      <c r="C37" s="9">
        <v>1810962</v>
      </c>
      <c r="D37" s="10" t="s">
        <v>89</v>
      </c>
      <c r="F37" s="11"/>
      <c r="G37" s="16"/>
      <c r="H37" s="17"/>
      <c r="I37" s="17"/>
      <c r="J37" s="17"/>
    </row>
    <row r="38" spans="2:10" hidden="1">
      <c r="B38" s="8" t="s">
        <v>35</v>
      </c>
      <c r="C38" s="9">
        <f>919234+54068+16400</f>
        <v>989702</v>
      </c>
      <c r="D38" s="10" t="s">
        <v>89</v>
      </c>
      <c r="F38" s="11"/>
      <c r="G38" s="16"/>
      <c r="H38" s="17"/>
      <c r="I38" s="17"/>
      <c r="J38" s="17"/>
    </row>
    <row r="39" spans="2:10" hidden="1">
      <c r="B39" s="8" t="s">
        <v>36</v>
      </c>
      <c r="C39" s="9">
        <v>138900</v>
      </c>
      <c r="D39" s="10" t="s">
        <v>89</v>
      </c>
      <c r="F39" s="11"/>
      <c r="G39" s="16"/>
      <c r="H39" s="17"/>
      <c r="I39" s="17"/>
      <c r="J39" s="17"/>
    </row>
    <row r="40" spans="2:10">
      <c r="B40" s="8" t="s">
        <v>65</v>
      </c>
      <c r="C40" s="9">
        <f>530853+429051</f>
        <v>959904</v>
      </c>
      <c r="D40" s="10" t="s">
        <v>83</v>
      </c>
      <c r="F40" s="11"/>
      <c r="G40" s="16"/>
      <c r="H40" s="17"/>
      <c r="I40" s="17"/>
      <c r="J40" s="17"/>
    </row>
    <row r="41" spans="2:10" hidden="1">
      <c r="B41" s="8" t="s">
        <v>75</v>
      </c>
      <c r="C41" s="9">
        <v>22168</v>
      </c>
      <c r="D41" s="10"/>
      <c r="F41" s="11"/>
      <c r="G41" s="16"/>
      <c r="H41" s="17"/>
      <c r="I41" s="17"/>
      <c r="J41" s="17"/>
    </row>
    <row r="42" spans="2:10" hidden="1">
      <c r="B42" s="8" t="s">
        <v>38</v>
      </c>
      <c r="C42" s="9">
        <v>23418871</v>
      </c>
      <c r="D42" s="10"/>
      <c r="F42" s="11"/>
      <c r="G42" s="16"/>
      <c r="H42" s="17"/>
      <c r="I42" s="17"/>
      <c r="J42" s="17"/>
    </row>
    <row r="43" spans="2:10" hidden="1">
      <c r="B43" s="8" t="s">
        <v>40</v>
      </c>
      <c r="C43" s="9">
        <v>451804</v>
      </c>
      <c r="D43" s="10" t="s">
        <v>89</v>
      </c>
      <c r="F43" s="11"/>
      <c r="G43" s="16"/>
      <c r="H43" s="17"/>
      <c r="I43" s="17"/>
      <c r="J43" s="17"/>
    </row>
    <row r="44" spans="2:10" hidden="1">
      <c r="B44" s="8" t="s">
        <v>41</v>
      </c>
      <c r="C44" s="9">
        <f>285410+176462</f>
        <v>461872</v>
      </c>
      <c r="D44" s="10"/>
      <c r="F44" s="11"/>
      <c r="G44" s="16"/>
      <c r="H44" s="17"/>
      <c r="I44" s="17"/>
      <c r="J44" s="17"/>
    </row>
    <row r="45" spans="2:10" hidden="1">
      <c r="B45" s="8" t="s">
        <v>42</v>
      </c>
      <c r="C45" s="9">
        <v>381060</v>
      </c>
      <c r="D45" s="10" t="s">
        <v>89</v>
      </c>
      <c r="F45" s="11"/>
      <c r="G45" s="16"/>
      <c r="H45" s="17"/>
      <c r="I45" s="17"/>
      <c r="J45" s="17"/>
    </row>
    <row r="46" spans="2:10" hidden="1">
      <c r="B46" s="8" t="s">
        <v>43</v>
      </c>
      <c r="C46" s="9">
        <f>439011+140788</f>
        <v>579799</v>
      </c>
      <c r="D46" s="10"/>
      <c r="F46" s="11"/>
      <c r="G46" s="16"/>
      <c r="H46" s="17"/>
      <c r="I46" s="17"/>
      <c r="J46" s="17"/>
    </row>
    <row r="47" spans="2:10" hidden="1">
      <c r="B47" s="8" t="s">
        <v>44</v>
      </c>
      <c r="C47" s="9">
        <v>784096</v>
      </c>
      <c r="D47" s="10" t="s">
        <v>89</v>
      </c>
      <c r="F47" s="11"/>
      <c r="G47" s="16"/>
      <c r="H47" s="17"/>
      <c r="I47" s="17"/>
      <c r="J47" s="17"/>
    </row>
    <row r="48" spans="2:10" hidden="1">
      <c r="B48" s="8" t="s">
        <v>45</v>
      </c>
      <c r="C48" s="9">
        <v>106138</v>
      </c>
      <c r="D48" s="10" t="s">
        <v>89</v>
      </c>
      <c r="F48" s="11"/>
      <c r="G48" s="16"/>
      <c r="H48" s="17"/>
      <c r="I48" s="17"/>
      <c r="J48" s="17"/>
    </row>
    <row r="49" spans="2:10" hidden="1">
      <c r="B49" s="8" t="s">
        <v>0</v>
      </c>
      <c r="C49" s="9">
        <v>60963</v>
      </c>
      <c r="D49" s="10" t="s">
        <v>89</v>
      </c>
      <c r="F49" s="11"/>
      <c r="G49" s="16"/>
      <c r="H49" s="17"/>
      <c r="I49" s="17"/>
      <c r="J49" s="17"/>
    </row>
    <row r="50" spans="2:10" hidden="1">
      <c r="B50" s="8" t="s">
        <v>55</v>
      </c>
      <c r="C50" s="9">
        <f>14000+117090</f>
        <v>131090</v>
      </c>
      <c r="D50" s="10" t="s">
        <v>89</v>
      </c>
      <c r="F50" s="11"/>
      <c r="G50" s="16"/>
      <c r="H50" s="17"/>
      <c r="I50" s="17"/>
      <c r="J50" s="17"/>
    </row>
    <row r="51" spans="2:10">
      <c r="B51" s="8" t="s">
        <v>46</v>
      </c>
      <c r="C51" s="9">
        <f>391908+15479+1069695</f>
        <v>1477082</v>
      </c>
      <c r="D51" s="10" t="s">
        <v>83</v>
      </c>
      <c r="F51" s="11"/>
      <c r="G51" s="16"/>
      <c r="H51" s="17"/>
      <c r="I51" s="17"/>
      <c r="J51" s="17"/>
    </row>
    <row r="52" spans="2:10" hidden="1">
      <c r="B52" s="8" t="s">
        <v>47</v>
      </c>
      <c r="C52" s="9">
        <v>140370</v>
      </c>
      <c r="D52" s="9" t="s">
        <v>89</v>
      </c>
      <c r="E52" s="10">
        <f>SUM(C7:C52)</f>
        <v>40154566.090000004</v>
      </c>
      <c r="F52" s="11"/>
      <c r="G52" s="10"/>
      <c r="H52" s="17"/>
      <c r="I52" s="17"/>
      <c r="J52" s="17"/>
    </row>
    <row r="53" spans="2:10">
      <c r="B53" s="14"/>
      <c r="C53" s="21"/>
      <c r="D53" s="21"/>
      <c r="E53" s="10"/>
      <c r="F53" s="11"/>
      <c r="G53" s="16"/>
      <c r="H53" s="17"/>
      <c r="I53" s="17"/>
      <c r="J53" s="17"/>
    </row>
    <row r="54" spans="2:10">
      <c r="B54" s="20" t="s">
        <v>56</v>
      </c>
      <c r="C54" s="21"/>
      <c r="D54" s="21"/>
      <c r="E54" s="10">
        <f>J56-E52</f>
        <v>8107759.3599999994</v>
      </c>
      <c r="F54" s="11"/>
      <c r="G54" s="16"/>
      <c r="H54" s="17"/>
      <c r="I54" s="17"/>
      <c r="J54" s="17"/>
    </row>
    <row r="55" spans="2:10">
      <c r="B55" s="14"/>
      <c r="C55" s="21"/>
      <c r="D55" s="21"/>
      <c r="E55" s="10"/>
      <c r="F55" s="11"/>
      <c r="G55" s="16"/>
      <c r="H55" s="17"/>
      <c r="I55" s="17"/>
      <c r="J55" s="17"/>
    </row>
    <row r="56" spans="2:10" ht="15.75" thickBot="1">
      <c r="B56" s="51" t="s">
        <v>48</v>
      </c>
      <c r="C56" s="52"/>
      <c r="D56" s="24"/>
      <c r="E56" s="18">
        <f>SUM(E7:E55)</f>
        <v>48262325.450000003</v>
      </c>
      <c r="F56" s="19"/>
      <c r="G56" s="51" t="s">
        <v>48</v>
      </c>
      <c r="H56" s="52"/>
      <c r="I56" s="24"/>
      <c r="J56" s="18">
        <f>SUM(J7:J55)</f>
        <v>48262325.450000003</v>
      </c>
    </row>
    <row r="57" spans="2:10" ht="15.75" thickTop="1"/>
  </sheetData>
  <autoFilter ref="B6:D52">
    <filterColumn colId="2">
      <filters>
        <filter val="Maintainence"/>
      </filters>
    </filterColumn>
  </autoFilter>
  <mergeCells count="6">
    <mergeCell ref="B56:C56"/>
    <mergeCell ref="G56:H56"/>
    <mergeCell ref="B2:J2"/>
    <mergeCell ref="B3:J3"/>
    <mergeCell ref="B4:J4"/>
    <mergeCell ref="B5:J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J57"/>
  <sheetViews>
    <sheetView zoomScale="110" zoomScaleNormal="110" workbookViewId="0">
      <selection activeCell="H9" sqref="H9"/>
    </sheetView>
  </sheetViews>
  <sheetFormatPr defaultRowHeight="15"/>
  <cols>
    <col min="1" max="1" width="9.140625" style="6"/>
    <col min="2" max="2" width="28.85546875" style="6" bestFit="1" customWidth="1"/>
    <col min="3" max="4" width="14.5703125" style="5" customWidth="1"/>
    <col min="5" max="5" width="13.85546875" style="5" customWidth="1"/>
    <col min="6" max="6" width="3" style="6" customWidth="1"/>
    <col min="7" max="7" width="25.7109375" style="6" customWidth="1"/>
    <col min="8" max="9" width="14.42578125" style="5" customWidth="1"/>
    <col min="10" max="10" width="13.5703125" style="5" customWidth="1"/>
    <col min="11" max="16384" width="9.140625" style="6"/>
  </cols>
  <sheetData>
    <row r="2" spans="2:10" ht="20.100000000000001" customHeight="1">
      <c r="B2" s="45" t="s">
        <v>50</v>
      </c>
      <c r="C2" s="45"/>
      <c r="D2" s="45"/>
      <c r="E2" s="45"/>
      <c r="F2" s="45"/>
      <c r="G2" s="45"/>
      <c r="H2" s="45"/>
      <c r="I2" s="45"/>
      <c r="J2" s="45"/>
    </row>
    <row r="3" spans="2:10" ht="20.100000000000001" customHeight="1">
      <c r="B3" s="45" t="s">
        <v>57</v>
      </c>
      <c r="C3" s="45"/>
      <c r="D3" s="45"/>
      <c r="E3" s="45"/>
      <c r="F3" s="45"/>
      <c r="G3" s="45"/>
      <c r="H3" s="45"/>
      <c r="I3" s="45"/>
      <c r="J3" s="45"/>
    </row>
    <row r="4" spans="2:10" ht="20.100000000000001" customHeight="1">
      <c r="B4" s="45" t="s">
        <v>79</v>
      </c>
      <c r="C4" s="45"/>
      <c r="D4" s="45"/>
      <c r="E4" s="45"/>
      <c r="F4" s="45"/>
      <c r="G4" s="45"/>
      <c r="H4" s="45"/>
      <c r="I4" s="45"/>
      <c r="J4" s="45"/>
    </row>
    <row r="5" spans="2:10" ht="20.100000000000001" customHeight="1">
      <c r="B5" s="49"/>
      <c r="C5" s="49"/>
      <c r="D5" s="49"/>
      <c r="E5" s="49"/>
      <c r="F5" s="49"/>
      <c r="G5" s="49"/>
      <c r="H5" s="49"/>
      <c r="I5" s="49"/>
      <c r="J5" s="49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49</v>
      </c>
      <c r="F6" s="4"/>
      <c r="G6" s="2" t="s">
        <v>53</v>
      </c>
      <c r="H6" s="4" t="s">
        <v>49</v>
      </c>
      <c r="I6" s="4"/>
      <c r="J6" s="4" t="s">
        <v>49</v>
      </c>
    </row>
    <row r="7" spans="2:10">
      <c r="B7" s="8" t="s">
        <v>63</v>
      </c>
      <c r="C7" s="9">
        <f>1336145+50710</f>
        <v>1386855</v>
      </c>
      <c r="D7" s="9"/>
      <c r="E7" s="10"/>
      <c r="F7" s="11"/>
      <c r="G7" s="8" t="s">
        <v>1</v>
      </c>
      <c r="H7" s="9">
        <f>21214215-1500+25290279</f>
        <v>46502994</v>
      </c>
      <c r="I7" s="9"/>
      <c r="J7" s="10"/>
    </row>
    <row r="8" spans="2:10">
      <c r="B8" s="8" t="s">
        <v>5</v>
      </c>
      <c r="C8" s="9">
        <f>372421+50000</f>
        <v>422421</v>
      </c>
      <c r="D8" s="9" t="s">
        <v>80</v>
      </c>
      <c r="E8" s="10"/>
      <c r="F8" s="11"/>
      <c r="G8" s="8" t="s">
        <v>3</v>
      </c>
      <c r="H8" s="9">
        <f>21937+63362</f>
        <v>85299</v>
      </c>
      <c r="I8" s="9"/>
      <c r="J8" s="10"/>
    </row>
    <row r="9" spans="2:10">
      <c r="B9" s="8" t="s">
        <v>7</v>
      </c>
      <c r="C9" s="9">
        <f>557634+12000</f>
        <v>569634</v>
      </c>
      <c r="D9" s="9" t="s">
        <v>80</v>
      </c>
      <c r="E9" s="10"/>
      <c r="F9" s="11"/>
      <c r="G9" s="8" t="s">
        <v>78</v>
      </c>
      <c r="H9" s="9">
        <v>605982</v>
      </c>
      <c r="I9" s="9"/>
      <c r="J9" s="10"/>
    </row>
    <row r="10" spans="2:10">
      <c r="B10" s="8" t="s">
        <v>9</v>
      </c>
      <c r="C10" s="9">
        <f>12656.11+5135.98</f>
        <v>17792.09</v>
      </c>
      <c r="D10" s="9"/>
      <c r="E10" s="10"/>
      <c r="F10" s="11"/>
      <c r="G10" s="8" t="s">
        <v>8</v>
      </c>
      <c r="H10" s="9">
        <f>1045369.45+22681</f>
        <v>1068050.45</v>
      </c>
      <c r="I10" s="9"/>
      <c r="J10" s="10">
        <f>SUM(H7:H10)</f>
        <v>48262325.450000003</v>
      </c>
    </row>
    <row r="11" spans="2:10">
      <c r="B11" s="8" t="s">
        <v>10</v>
      </c>
      <c r="C11" s="9">
        <v>54781</v>
      </c>
      <c r="D11" s="9" t="s">
        <v>81</v>
      </c>
      <c r="E11" s="10"/>
      <c r="F11" s="11"/>
      <c r="G11" s="14"/>
      <c r="H11" s="21"/>
      <c r="I11" s="21"/>
      <c r="J11" s="10"/>
    </row>
    <row r="12" spans="2:10">
      <c r="B12" s="8" t="s">
        <v>11</v>
      </c>
      <c r="C12" s="9">
        <v>97502</v>
      </c>
      <c r="D12" s="9" t="s">
        <v>80</v>
      </c>
      <c r="E12" s="10"/>
      <c r="F12" s="11"/>
      <c r="G12" s="16"/>
      <c r="H12" s="17"/>
      <c r="I12" s="17"/>
      <c r="J12" s="17"/>
    </row>
    <row r="13" spans="2:10">
      <c r="B13" s="8" t="s">
        <v>12</v>
      </c>
      <c r="C13" s="9">
        <v>20892</v>
      </c>
      <c r="D13" s="9" t="s">
        <v>80</v>
      </c>
      <c r="E13" s="10"/>
      <c r="F13" s="11"/>
      <c r="G13" s="16"/>
      <c r="H13" s="17"/>
      <c r="I13" s="17"/>
      <c r="J13" s="17"/>
    </row>
    <row r="14" spans="2:10">
      <c r="B14" s="8" t="s">
        <v>13</v>
      </c>
      <c r="C14" s="9">
        <f>1290+17800</f>
        <v>19090</v>
      </c>
      <c r="D14" s="9" t="s">
        <v>80</v>
      </c>
      <c r="E14" s="10"/>
      <c r="F14" s="11"/>
      <c r="G14" s="16"/>
      <c r="H14" s="17"/>
      <c r="I14" s="17"/>
      <c r="J14" s="17"/>
    </row>
    <row r="15" spans="2:10">
      <c r="B15" s="8" t="s">
        <v>70</v>
      </c>
      <c r="C15" s="9">
        <v>831251</v>
      </c>
      <c r="D15" s="9" t="s">
        <v>85</v>
      </c>
      <c r="E15" s="10"/>
      <c r="F15" s="11"/>
      <c r="G15" s="16"/>
      <c r="H15" s="17"/>
      <c r="I15" s="17"/>
      <c r="J15" s="17"/>
    </row>
    <row r="16" spans="2:10">
      <c r="B16" s="8" t="s">
        <v>14</v>
      </c>
      <c r="C16" s="9">
        <v>58076</v>
      </c>
      <c r="D16" s="9" t="s">
        <v>85</v>
      </c>
      <c r="E16" s="10"/>
      <c r="F16" s="11"/>
      <c r="G16" s="16"/>
      <c r="H16" s="17"/>
      <c r="I16" s="17"/>
      <c r="J16" s="17"/>
    </row>
    <row r="17" spans="2:10">
      <c r="B17" s="8" t="s">
        <v>60</v>
      </c>
      <c r="C17" s="9">
        <v>644030</v>
      </c>
      <c r="D17" s="9"/>
      <c r="E17" s="10"/>
      <c r="F17" s="11"/>
      <c r="G17" s="16"/>
      <c r="H17" s="17"/>
      <c r="I17" s="17"/>
      <c r="J17" s="17"/>
    </row>
    <row r="18" spans="2:10">
      <c r="B18" s="8" t="s">
        <v>73</v>
      </c>
      <c r="C18" s="9">
        <f>17426+265349</f>
        <v>282775</v>
      </c>
      <c r="D18" s="9"/>
      <c r="E18" s="10"/>
      <c r="F18" s="11"/>
      <c r="G18" s="16"/>
      <c r="H18" s="17"/>
      <c r="I18" s="17"/>
      <c r="J18" s="17"/>
    </row>
    <row r="19" spans="2:10">
      <c r="B19" s="8" t="s">
        <v>17</v>
      </c>
      <c r="C19" s="9">
        <v>355624</v>
      </c>
      <c r="D19" s="9" t="s">
        <v>80</v>
      </c>
      <c r="E19" s="10"/>
      <c r="F19" s="11"/>
      <c r="G19" s="16"/>
      <c r="H19" s="17"/>
      <c r="I19" s="17"/>
      <c r="J19" s="17"/>
    </row>
    <row r="20" spans="2:10">
      <c r="B20" s="8" t="s">
        <v>18</v>
      </c>
      <c r="C20" s="9">
        <v>73400</v>
      </c>
      <c r="D20" s="9" t="s">
        <v>85</v>
      </c>
      <c r="E20" s="10"/>
      <c r="F20" s="11"/>
      <c r="G20" s="16"/>
      <c r="H20" s="17"/>
      <c r="I20" s="17"/>
      <c r="J20" s="17"/>
    </row>
    <row r="21" spans="2:10">
      <c r="B21" s="8" t="s">
        <v>19</v>
      </c>
      <c r="C21" s="9">
        <v>146627</v>
      </c>
      <c r="D21" s="9" t="s">
        <v>80</v>
      </c>
      <c r="E21" s="10"/>
      <c r="F21" s="11"/>
      <c r="G21" s="16"/>
      <c r="H21" s="17"/>
      <c r="I21" s="17"/>
      <c r="J21" s="17"/>
    </row>
    <row r="22" spans="2:10">
      <c r="B22" s="8" t="s">
        <v>20</v>
      </c>
      <c r="C22" s="9">
        <f>32738+89733</f>
        <v>122471</v>
      </c>
      <c r="D22" s="9" t="s">
        <v>85</v>
      </c>
      <c r="E22" s="10"/>
      <c r="F22" s="11"/>
      <c r="G22" s="16"/>
      <c r="H22" s="17"/>
      <c r="I22" s="17"/>
      <c r="J22" s="17"/>
    </row>
    <row r="23" spans="2:10">
      <c r="B23" s="8" t="s">
        <v>21</v>
      </c>
      <c r="C23" s="9">
        <v>63071</v>
      </c>
      <c r="D23" s="9" t="s">
        <v>80</v>
      </c>
      <c r="E23" s="10"/>
      <c r="F23" s="11"/>
      <c r="G23" s="16"/>
      <c r="H23" s="17"/>
      <c r="I23" s="17"/>
      <c r="J23" s="17"/>
    </row>
    <row r="24" spans="2:10">
      <c r="B24" s="8" t="s">
        <v>74</v>
      </c>
      <c r="C24" s="9">
        <f>84885+8895</f>
        <v>93780</v>
      </c>
      <c r="D24" s="9"/>
      <c r="E24" s="10"/>
      <c r="F24" s="11"/>
      <c r="G24" s="16"/>
      <c r="H24" s="17"/>
      <c r="I24" s="17"/>
      <c r="J24" s="17"/>
    </row>
    <row r="25" spans="2:10">
      <c r="B25" s="8" t="s">
        <v>22</v>
      </c>
      <c r="C25" s="9">
        <v>614284</v>
      </c>
      <c r="D25" s="9" t="s">
        <v>80</v>
      </c>
      <c r="E25" s="10"/>
      <c r="F25" s="11"/>
      <c r="G25" s="16"/>
      <c r="H25" s="17"/>
      <c r="I25" s="17"/>
      <c r="J25" s="17"/>
    </row>
    <row r="26" spans="2:10">
      <c r="B26" s="8" t="s">
        <v>23</v>
      </c>
      <c r="C26" s="9">
        <v>566726</v>
      </c>
      <c r="D26" s="9" t="s">
        <v>85</v>
      </c>
      <c r="E26" s="10"/>
      <c r="F26" s="11"/>
      <c r="G26" s="16"/>
      <c r="H26" s="17"/>
      <c r="I26" s="17"/>
      <c r="J26" s="17"/>
    </row>
    <row r="27" spans="2:10">
      <c r="B27" s="8" t="s">
        <v>24</v>
      </c>
      <c r="C27" s="9">
        <f>172972+15600+20250+18750</f>
        <v>227572</v>
      </c>
      <c r="D27" s="9" t="s">
        <v>81</v>
      </c>
      <c r="E27" s="10"/>
      <c r="F27" s="11"/>
      <c r="G27" s="16"/>
      <c r="H27" s="17"/>
      <c r="I27" s="17"/>
      <c r="J27" s="17"/>
    </row>
    <row r="28" spans="2:10">
      <c r="B28" s="8" t="s">
        <v>25</v>
      </c>
      <c r="C28" s="9">
        <f>270795+32155</f>
        <v>302950</v>
      </c>
      <c r="D28" s="9" t="s">
        <v>84</v>
      </c>
      <c r="E28" s="10"/>
      <c r="F28" s="11"/>
      <c r="G28" s="16"/>
      <c r="H28" s="17"/>
      <c r="I28" s="17"/>
      <c r="J28" s="17"/>
    </row>
    <row r="29" spans="2:10">
      <c r="B29" s="8" t="s">
        <v>26</v>
      </c>
      <c r="C29" s="9">
        <v>12871</v>
      </c>
      <c r="D29" s="9" t="s">
        <v>80</v>
      </c>
      <c r="E29" s="10"/>
      <c r="F29" s="11"/>
      <c r="G29" s="16"/>
      <c r="H29" s="17"/>
      <c r="I29" s="17"/>
      <c r="J29" s="17"/>
    </row>
    <row r="30" spans="2:10">
      <c r="B30" s="8" t="s">
        <v>27</v>
      </c>
      <c r="C30" s="9">
        <v>87349</v>
      </c>
      <c r="D30" s="9" t="s">
        <v>80</v>
      </c>
      <c r="E30" s="10"/>
      <c r="F30" s="11"/>
      <c r="G30" s="16"/>
      <c r="H30" s="17"/>
      <c r="I30" s="17"/>
      <c r="J30" s="17"/>
    </row>
    <row r="31" spans="2:10">
      <c r="B31" s="8" t="s">
        <v>28</v>
      </c>
      <c r="C31" s="9">
        <v>9005</v>
      </c>
      <c r="D31" s="9"/>
      <c r="E31" s="10"/>
      <c r="F31" s="11"/>
      <c r="G31" s="16"/>
      <c r="H31" s="17"/>
      <c r="I31" s="17"/>
      <c r="J31" s="17"/>
    </row>
    <row r="32" spans="2:10">
      <c r="B32" s="8" t="s">
        <v>29</v>
      </c>
      <c r="C32" s="9">
        <v>302377</v>
      </c>
      <c r="D32" s="9"/>
      <c r="E32" s="10"/>
      <c r="F32" s="11"/>
      <c r="G32" s="16"/>
      <c r="H32" s="17"/>
      <c r="I32" s="17"/>
      <c r="J32" s="17"/>
    </row>
    <row r="33" spans="2:10">
      <c r="B33" s="8" t="s">
        <v>30</v>
      </c>
      <c r="C33" s="9">
        <v>92715</v>
      </c>
      <c r="D33" s="9"/>
      <c r="E33" s="10"/>
      <c r="F33" s="11"/>
      <c r="G33" s="16"/>
      <c r="H33" s="17"/>
      <c r="I33" s="17"/>
      <c r="J33" s="17"/>
    </row>
    <row r="34" spans="2:10">
      <c r="B34" s="8" t="s">
        <v>31</v>
      </c>
      <c r="C34" s="9">
        <v>130760</v>
      </c>
      <c r="D34" s="9" t="s">
        <v>80</v>
      </c>
      <c r="E34" s="10"/>
      <c r="F34" s="11"/>
      <c r="G34" s="16"/>
      <c r="H34" s="17"/>
      <c r="I34" s="17"/>
      <c r="J34" s="17"/>
    </row>
    <row r="35" spans="2:10">
      <c r="B35" s="8" t="s">
        <v>32</v>
      </c>
      <c r="C35" s="9">
        <v>628104</v>
      </c>
      <c r="D35" s="9" t="s">
        <v>80</v>
      </c>
      <c r="E35" s="10"/>
      <c r="F35" s="11"/>
      <c r="G35" s="16"/>
      <c r="H35" s="17"/>
      <c r="I35" s="17"/>
      <c r="J35" s="17"/>
    </row>
    <row r="36" spans="2:10">
      <c r="B36" s="8" t="s">
        <v>33</v>
      </c>
      <c r="C36" s="9">
        <v>5000</v>
      </c>
      <c r="D36" s="9"/>
      <c r="E36" s="10"/>
      <c r="F36" s="11"/>
      <c r="G36" s="16"/>
      <c r="H36" s="17"/>
      <c r="I36" s="17"/>
      <c r="J36" s="17"/>
    </row>
    <row r="37" spans="2:10">
      <c r="B37" s="8" t="s">
        <v>34</v>
      </c>
      <c r="C37" s="9">
        <v>1810962</v>
      </c>
      <c r="D37" s="9"/>
      <c r="E37" s="10"/>
      <c r="F37" s="11"/>
      <c r="G37" s="16"/>
      <c r="H37" s="17"/>
      <c r="I37" s="17"/>
      <c r="J37" s="17"/>
    </row>
    <row r="38" spans="2:10">
      <c r="B38" s="8" t="s">
        <v>35</v>
      </c>
      <c r="C38" s="9">
        <f>919234+54068+16400</f>
        <v>989702</v>
      </c>
      <c r="D38" s="9"/>
      <c r="E38" s="10"/>
      <c r="F38" s="11"/>
      <c r="G38" s="16"/>
      <c r="H38" s="17"/>
      <c r="I38" s="17"/>
      <c r="J38" s="17"/>
    </row>
    <row r="39" spans="2:10">
      <c r="B39" s="8" t="s">
        <v>36</v>
      </c>
      <c r="C39" s="9">
        <v>138900</v>
      </c>
      <c r="D39" s="9"/>
      <c r="E39" s="10"/>
      <c r="F39" s="11"/>
      <c r="G39" s="16"/>
      <c r="H39" s="17"/>
      <c r="I39" s="17"/>
      <c r="J39" s="17"/>
    </row>
    <row r="40" spans="2:10">
      <c r="B40" s="8" t="s">
        <v>65</v>
      </c>
      <c r="C40" s="9">
        <f>530853+429051</f>
        <v>959904</v>
      </c>
      <c r="D40" s="9" t="s">
        <v>85</v>
      </c>
      <c r="E40" s="10"/>
      <c r="F40" s="11"/>
      <c r="G40" s="16"/>
      <c r="H40" s="17"/>
      <c r="I40" s="17"/>
      <c r="J40" s="17"/>
    </row>
    <row r="41" spans="2:10">
      <c r="B41" s="8" t="s">
        <v>75</v>
      </c>
      <c r="C41" s="9">
        <v>22168</v>
      </c>
      <c r="D41" s="9"/>
      <c r="E41" s="10"/>
      <c r="F41" s="11"/>
      <c r="G41" s="16"/>
      <c r="H41" s="17"/>
      <c r="I41" s="17"/>
      <c r="J41" s="17"/>
    </row>
    <row r="42" spans="2:10">
      <c r="B42" s="8" t="s">
        <v>38</v>
      </c>
      <c r="C42" s="9">
        <v>23418871</v>
      </c>
      <c r="D42" s="9"/>
      <c r="E42" s="10"/>
      <c r="F42" s="11"/>
      <c r="G42" s="16"/>
      <c r="H42" s="17"/>
      <c r="I42" s="17"/>
      <c r="J42" s="17"/>
    </row>
    <row r="43" spans="2:10">
      <c r="B43" s="8" t="s">
        <v>40</v>
      </c>
      <c r="C43" s="9">
        <v>451804</v>
      </c>
      <c r="D43" s="9" t="s">
        <v>85</v>
      </c>
      <c r="E43" s="10"/>
      <c r="F43" s="11"/>
      <c r="G43" s="16"/>
      <c r="H43" s="17"/>
      <c r="I43" s="17"/>
      <c r="J43" s="17"/>
    </row>
    <row r="44" spans="2:10">
      <c r="B44" s="8" t="s">
        <v>41</v>
      </c>
      <c r="C44" s="9">
        <f>285410+176462</f>
        <v>461872</v>
      </c>
      <c r="D44" s="9" t="s">
        <v>84</v>
      </c>
      <c r="E44" s="10"/>
      <c r="F44" s="11"/>
      <c r="G44" s="16"/>
      <c r="H44" s="17"/>
      <c r="I44" s="17"/>
      <c r="J44" s="17"/>
    </row>
    <row r="45" spans="2:10">
      <c r="B45" s="8" t="s">
        <v>42</v>
      </c>
      <c r="C45" s="9">
        <v>381060</v>
      </c>
      <c r="D45" s="9" t="s">
        <v>80</v>
      </c>
      <c r="E45" s="10"/>
      <c r="F45" s="11"/>
      <c r="G45" s="16"/>
      <c r="H45" s="17"/>
      <c r="I45" s="17"/>
      <c r="J45" s="17"/>
    </row>
    <row r="46" spans="2:10">
      <c r="B46" s="8" t="s">
        <v>43</v>
      </c>
      <c r="C46" s="9">
        <f>439011+140788</f>
        <v>579799</v>
      </c>
      <c r="D46" s="9"/>
      <c r="E46" s="10"/>
      <c r="F46" s="11"/>
      <c r="G46" s="16"/>
      <c r="H46" s="17"/>
      <c r="I46" s="17"/>
      <c r="J46" s="17"/>
    </row>
    <row r="47" spans="2:10">
      <c r="B47" s="8" t="s">
        <v>44</v>
      </c>
      <c r="C47" s="9">
        <v>784096</v>
      </c>
      <c r="D47" s="9"/>
      <c r="E47" s="10"/>
      <c r="F47" s="11"/>
      <c r="G47" s="16"/>
      <c r="H47" s="17"/>
      <c r="I47" s="17"/>
      <c r="J47" s="17"/>
    </row>
    <row r="48" spans="2:10">
      <c r="B48" s="8" t="s">
        <v>45</v>
      </c>
      <c r="C48" s="9">
        <v>106138</v>
      </c>
      <c r="D48" s="9"/>
      <c r="E48" s="10"/>
      <c r="F48" s="11"/>
      <c r="G48" s="16"/>
      <c r="H48" s="17"/>
      <c r="I48" s="17"/>
      <c r="J48" s="17"/>
    </row>
    <row r="49" spans="2:10">
      <c r="B49" s="8" t="s">
        <v>0</v>
      </c>
      <c r="C49" s="9">
        <v>60963</v>
      </c>
      <c r="D49" s="9" t="s">
        <v>85</v>
      </c>
      <c r="E49" s="10"/>
      <c r="F49" s="11"/>
      <c r="G49" s="16"/>
      <c r="H49" s="17"/>
      <c r="I49" s="17"/>
      <c r="J49" s="17"/>
    </row>
    <row r="50" spans="2:10">
      <c r="B50" s="8" t="s">
        <v>55</v>
      </c>
      <c r="C50" s="9">
        <f>14000+117090</f>
        <v>131090</v>
      </c>
      <c r="D50" s="9" t="s">
        <v>80</v>
      </c>
      <c r="E50" s="10"/>
      <c r="F50" s="11"/>
      <c r="G50" s="16"/>
      <c r="H50" s="17"/>
      <c r="I50" s="17"/>
      <c r="J50" s="17"/>
    </row>
    <row r="51" spans="2:10">
      <c r="B51" s="8" t="s">
        <v>46</v>
      </c>
      <c r="C51" s="9">
        <f>391908+15479+1069695</f>
        <v>1477082</v>
      </c>
      <c r="D51" s="9" t="s">
        <v>85</v>
      </c>
      <c r="E51" s="10"/>
      <c r="F51" s="11"/>
      <c r="G51" s="16"/>
      <c r="H51" s="17"/>
      <c r="I51" s="17"/>
      <c r="J51" s="17"/>
    </row>
    <row r="52" spans="2:10">
      <c r="B52" s="8" t="s">
        <v>47</v>
      </c>
      <c r="C52" s="9">
        <v>140370</v>
      </c>
      <c r="D52" s="9" t="s">
        <v>85</v>
      </c>
      <c r="E52" s="10">
        <f>SUM(C7:C52)</f>
        <v>40154566.090000004</v>
      </c>
      <c r="F52" s="11"/>
      <c r="G52" s="16"/>
      <c r="H52" s="17"/>
      <c r="I52" s="17"/>
      <c r="J52" s="17"/>
    </row>
    <row r="53" spans="2:10">
      <c r="B53" s="14"/>
      <c r="C53" s="21"/>
      <c r="D53" s="21"/>
      <c r="E53" s="10"/>
      <c r="F53" s="11"/>
      <c r="G53" s="16"/>
      <c r="H53" s="17"/>
      <c r="I53" s="17"/>
      <c r="J53" s="17"/>
    </row>
    <row r="54" spans="2:10">
      <c r="B54" s="20" t="s">
        <v>56</v>
      </c>
      <c r="C54" s="21"/>
      <c r="D54" s="21"/>
      <c r="E54" s="10">
        <f>J56-E52</f>
        <v>8107759.3599999994</v>
      </c>
      <c r="F54" s="11"/>
      <c r="G54" s="16"/>
      <c r="H54" s="17"/>
      <c r="I54" s="17"/>
      <c r="J54" s="17"/>
    </row>
    <row r="55" spans="2:10">
      <c r="B55" s="14"/>
      <c r="C55" s="21"/>
      <c r="D55" s="21"/>
      <c r="E55" s="10"/>
      <c r="F55" s="11"/>
      <c r="G55" s="16"/>
      <c r="H55" s="17"/>
      <c r="I55" s="17"/>
      <c r="J55" s="17"/>
    </row>
    <row r="56" spans="2:10" ht="15.75" thickBot="1">
      <c r="B56" s="51" t="s">
        <v>48</v>
      </c>
      <c r="C56" s="52"/>
      <c r="D56" s="37"/>
      <c r="E56" s="18">
        <f>SUM(E7:E55)</f>
        <v>48262325.450000003</v>
      </c>
      <c r="F56" s="19"/>
      <c r="G56" s="51" t="s">
        <v>48</v>
      </c>
      <c r="H56" s="52"/>
      <c r="I56" s="37"/>
      <c r="J56" s="18">
        <f>SUM(J7:J55)</f>
        <v>48262325.450000003</v>
      </c>
    </row>
    <row r="57" spans="2:10" ht="15.75" thickTop="1"/>
  </sheetData>
  <mergeCells count="6">
    <mergeCell ref="B2:J2"/>
    <mergeCell ref="B3:J3"/>
    <mergeCell ref="B4:J4"/>
    <mergeCell ref="B5:J5"/>
    <mergeCell ref="B56:C56"/>
    <mergeCell ref="G56:H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G40"/>
  <sheetViews>
    <sheetView workbookViewId="0">
      <selection activeCell="A4" sqref="A4"/>
    </sheetView>
  </sheetViews>
  <sheetFormatPr defaultRowHeight="15"/>
  <cols>
    <col min="2" max="2" width="20.85546875" bestFit="1" customWidth="1"/>
    <col min="3" max="3" width="13.28515625" style="25" bestFit="1" customWidth="1"/>
    <col min="4" max="4" width="12.140625" bestFit="1" customWidth="1"/>
    <col min="7" max="7" width="13.28515625" bestFit="1" customWidth="1"/>
  </cols>
  <sheetData>
    <row r="4" spans="1:7">
      <c r="A4" s="35" t="s">
        <v>81</v>
      </c>
    </row>
    <row r="5" spans="1:7">
      <c r="B5" s="8" t="s">
        <v>10</v>
      </c>
      <c r="C5" s="26">
        <v>54781</v>
      </c>
      <c r="D5" s="9" t="s">
        <v>81</v>
      </c>
    </row>
    <row r="6" spans="1:7">
      <c r="B6" s="8" t="s">
        <v>24</v>
      </c>
      <c r="C6" s="26">
        <v>227572</v>
      </c>
      <c r="D6" s="9" t="s">
        <v>81</v>
      </c>
      <c r="G6" s="32">
        <f>SUM(C7,C11,C23,C40)</f>
        <v>9469601</v>
      </c>
    </row>
    <row r="7" spans="1:7">
      <c r="C7" s="27">
        <f>SUM(C5:C6)</f>
        <v>282353</v>
      </c>
      <c r="G7" s="32">
        <f>(C23*100)/G6</f>
        <v>50.076523815522954</v>
      </c>
    </row>
    <row r="8" spans="1:7">
      <c r="A8" s="35" t="s">
        <v>82</v>
      </c>
    </row>
    <row r="9" spans="1:7">
      <c r="B9" s="8" t="s">
        <v>25</v>
      </c>
      <c r="C9" s="26">
        <v>302950</v>
      </c>
      <c r="D9" s="9" t="s">
        <v>84</v>
      </c>
    </row>
    <row r="10" spans="1:7">
      <c r="B10" s="8" t="s">
        <v>41</v>
      </c>
      <c r="C10" s="26">
        <v>461872</v>
      </c>
      <c r="D10" s="9" t="s">
        <v>84</v>
      </c>
    </row>
    <row r="11" spans="1:7">
      <c r="B11" s="28"/>
      <c r="C11" s="30">
        <f>SUM(C9:C10)</f>
        <v>764822</v>
      </c>
      <c r="D11" s="29"/>
    </row>
    <row r="12" spans="1:7">
      <c r="A12" s="35" t="s">
        <v>87</v>
      </c>
    </row>
    <row r="13" spans="1:7">
      <c r="B13" s="8" t="s">
        <v>70</v>
      </c>
      <c r="C13" s="26">
        <v>831251</v>
      </c>
      <c r="D13" s="9" t="s">
        <v>85</v>
      </c>
    </row>
    <row r="14" spans="1:7">
      <c r="B14" s="8" t="s">
        <v>14</v>
      </c>
      <c r="C14" s="26">
        <v>58076</v>
      </c>
      <c r="D14" s="9" t="s">
        <v>85</v>
      </c>
    </row>
    <row r="15" spans="1:7">
      <c r="B15" s="8" t="s">
        <v>18</v>
      </c>
      <c r="C15" s="26">
        <v>73400</v>
      </c>
      <c r="D15" s="9" t="s">
        <v>85</v>
      </c>
    </row>
    <row r="16" spans="1:7">
      <c r="B16" s="8" t="s">
        <v>20</v>
      </c>
      <c r="C16" s="26">
        <v>122471</v>
      </c>
      <c r="D16" s="9" t="s">
        <v>85</v>
      </c>
    </row>
    <row r="17" spans="1:4">
      <c r="B17" s="8" t="s">
        <v>23</v>
      </c>
      <c r="C17" s="26">
        <v>566726</v>
      </c>
      <c r="D17" s="9" t="s">
        <v>85</v>
      </c>
    </row>
    <row r="18" spans="1:4">
      <c r="B18" s="8" t="s">
        <v>65</v>
      </c>
      <c r="C18" s="26">
        <v>959904</v>
      </c>
      <c r="D18" s="9" t="s">
        <v>85</v>
      </c>
    </row>
    <row r="19" spans="1:4">
      <c r="B19" s="8" t="s">
        <v>40</v>
      </c>
      <c r="C19" s="26">
        <v>451804</v>
      </c>
      <c r="D19" s="9" t="s">
        <v>85</v>
      </c>
    </row>
    <row r="20" spans="1:4">
      <c r="B20" s="8" t="s">
        <v>0</v>
      </c>
      <c r="C20" s="26">
        <v>60963</v>
      </c>
      <c r="D20" s="9" t="s">
        <v>85</v>
      </c>
    </row>
    <row r="21" spans="1:4">
      <c r="B21" s="8" t="s">
        <v>46</v>
      </c>
      <c r="C21" s="26">
        <v>1477082</v>
      </c>
      <c r="D21" s="9" t="s">
        <v>85</v>
      </c>
    </row>
    <row r="22" spans="1:4">
      <c r="B22" s="8" t="s">
        <v>47</v>
      </c>
      <c r="C22" s="26">
        <v>140370</v>
      </c>
      <c r="D22" s="9" t="s">
        <v>85</v>
      </c>
    </row>
    <row r="23" spans="1:4">
      <c r="B23" s="28"/>
      <c r="C23" s="30">
        <f>SUM(C13:C22)</f>
        <v>4742047</v>
      </c>
      <c r="D23" s="29"/>
    </row>
    <row r="24" spans="1:4">
      <c r="A24" s="35" t="s">
        <v>80</v>
      </c>
    </row>
    <row r="25" spans="1:4">
      <c r="B25" s="8" t="s">
        <v>5</v>
      </c>
      <c r="C25" s="26">
        <v>422421</v>
      </c>
      <c r="D25" s="9" t="s">
        <v>80</v>
      </c>
    </row>
    <row r="26" spans="1:4">
      <c r="B26" s="8" t="s">
        <v>7</v>
      </c>
      <c r="C26" s="26">
        <v>569634</v>
      </c>
      <c r="D26" s="9" t="s">
        <v>80</v>
      </c>
    </row>
    <row r="27" spans="1:4">
      <c r="B27" s="8" t="s">
        <v>11</v>
      </c>
      <c r="C27" s="26">
        <v>97502</v>
      </c>
      <c r="D27" s="9" t="s">
        <v>80</v>
      </c>
    </row>
    <row r="28" spans="1:4">
      <c r="B28" s="8" t="s">
        <v>12</v>
      </c>
      <c r="C28" s="26">
        <v>20892</v>
      </c>
      <c r="D28" s="9" t="s">
        <v>80</v>
      </c>
    </row>
    <row r="29" spans="1:4">
      <c r="B29" s="8" t="s">
        <v>13</v>
      </c>
      <c r="C29" s="26">
        <v>19090</v>
      </c>
      <c r="D29" s="9" t="s">
        <v>80</v>
      </c>
    </row>
    <row r="30" spans="1:4">
      <c r="B30" s="8" t="s">
        <v>17</v>
      </c>
      <c r="C30" s="26">
        <v>355624</v>
      </c>
      <c r="D30" s="9" t="s">
        <v>80</v>
      </c>
    </row>
    <row r="31" spans="1:4">
      <c r="B31" s="8" t="s">
        <v>19</v>
      </c>
      <c r="C31" s="26">
        <v>146627</v>
      </c>
      <c r="D31" s="9" t="s">
        <v>80</v>
      </c>
    </row>
    <row r="32" spans="1:4">
      <c r="B32" s="8" t="s">
        <v>21</v>
      </c>
      <c r="C32" s="26">
        <v>63071</v>
      </c>
      <c r="D32" s="9" t="s">
        <v>80</v>
      </c>
    </row>
    <row r="33" spans="2:4">
      <c r="B33" s="8" t="s">
        <v>22</v>
      </c>
      <c r="C33" s="26">
        <v>614284</v>
      </c>
      <c r="D33" s="9" t="s">
        <v>80</v>
      </c>
    </row>
    <row r="34" spans="2:4">
      <c r="B34" s="8" t="s">
        <v>26</v>
      </c>
      <c r="C34" s="26">
        <v>12871</v>
      </c>
      <c r="D34" s="9" t="s">
        <v>80</v>
      </c>
    </row>
    <row r="35" spans="2:4">
      <c r="B35" s="8" t="s">
        <v>27</v>
      </c>
      <c r="C35" s="26">
        <v>87349</v>
      </c>
      <c r="D35" s="9" t="s">
        <v>80</v>
      </c>
    </row>
    <row r="36" spans="2:4">
      <c r="B36" s="8" t="s">
        <v>31</v>
      </c>
      <c r="C36" s="26">
        <v>130760</v>
      </c>
      <c r="D36" s="9" t="s">
        <v>80</v>
      </c>
    </row>
    <row r="37" spans="2:4">
      <c r="B37" s="8" t="s">
        <v>32</v>
      </c>
      <c r="C37" s="26">
        <v>628104</v>
      </c>
      <c r="D37" s="9" t="s">
        <v>80</v>
      </c>
    </row>
    <row r="38" spans="2:4">
      <c r="B38" s="8" t="s">
        <v>42</v>
      </c>
      <c r="C38" s="26">
        <v>381060</v>
      </c>
      <c r="D38" s="9" t="s">
        <v>80</v>
      </c>
    </row>
    <row r="39" spans="2:4">
      <c r="B39" s="8" t="s">
        <v>55</v>
      </c>
      <c r="C39" s="26">
        <v>131090</v>
      </c>
      <c r="D39" s="9" t="s">
        <v>80</v>
      </c>
    </row>
    <row r="40" spans="2:4">
      <c r="C40" s="25">
        <f>SUM(C25:C39)</f>
        <v>3680379</v>
      </c>
    </row>
  </sheetData>
  <pageMargins left="0.7" right="0.7" top="0.75" bottom="0.75" header="0.3" footer="0.3"/>
  <pageSetup orientation="portrait" horizontalDpi="120" verticalDpi="144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52"/>
  <sheetViews>
    <sheetView workbookViewId="0">
      <selection activeCell="A26" sqref="A26"/>
    </sheetView>
  </sheetViews>
  <sheetFormatPr defaultRowHeight="15"/>
  <cols>
    <col min="2" max="2" width="31.85546875" bestFit="1" customWidth="1"/>
    <col min="3" max="3" width="13.28515625" style="25" bestFit="1" customWidth="1"/>
    <col min="4" max="4" width="12.140625" bestFit="1" customWidth="1"/>
    <col min="7" max="7" width="14.28515625" bestFit="1" customWidth="1"/>
    <col min="8" max="8" width="10.5703125" bestFit="1" customWidth="1"/>
  </cols>
  <sheetData>
    <row r="1" spans="1:8" ht="15.75">
      <c r="A1" s="45" t="s">
        <v>50</v>
      </c>
      <c r="B1" s="45"/>
      <c r="C1" s="45"/>
      <c r="D1" s="45"/>
      <c r="E1" s="45"/>
      <c r="F1" s="45"/>
      <c r="G1" s="45"/>
      <c r="H1" s="45"/>
    </row>
    <row r="2" spans="1:8" ht="15.75">
      <c r="A2" s="45" t="s">
        <v>57</v>
      </c>
      <c r="B2" s="45"/>
      <c r="C2" s="45"/>
      <c r="D2" s="45"/>
      <c r="E2" s="45"/>
      <c r="F2" s="45"/>
      <c r="G2" s="45"/>
      <c r="H2" s="45"/>
    </row>
    <row r="3" spans="1:8" ht="15.75">
      <c r="A3" s="45" t="s">
        <v>76</v>
      </c>
      <c r="B3" s="45"/>
      <c r="C3" s="45"/>
      <c r="D3" s="45"/>
      <c r="E3" s="45"/>
      <c r="F3" s="45"/>
      <c r="G3" s="45"/>
      <c r="H3" s="45"/>
    </row>
    <row r="5" spans="1:8">
      <c r="A5" s="35" t="s">
        <v>81</v>
      </c>
    </row>
    <row r="6" spans="1:8">
      <c r="B6" s="8" t="s">
        <v>10</v>
      </c>
      <c r="C6" s="26">
        <v>360585</v>
      </c>
      <c r="D6" s="9" t="s">
        <v>81</v>
      </c>
      <c r="G6" s="33">
        <f>SUM(C8,C12,C25,C42)</f>
        <v>10987853</v>
      </c>
    </row>
    <row r="7" spans="1:8">
      <c r="B7" s="8" t="s">
        <v>24</v>
      </c>
      <c r="C7" s="26">
        <v>235517</v>
      </c>
      <c r="D7" s="9" t="s">
        <v>81</v>
      </c>
      <c r="G7" s="33">
        <f>(C25*100)/G6</f>
        <v>42.553627173570668</v>
      </c>
    </row>
    <row r="8" spans="1:8">
      <c r="C8" s="27">
        <f>SUM(C6:C7)</f>
        <v>596102</v>
      </c>
    </row>
    <row r="9" spans="1:8">
      <c r="A9" s="35" t="s">
        <v>82</v>
      </c>
    </row>
    <row r="10" spans="1:8">
      <c r="B10" s="8" t="s">
        <v>25</v>
      </c>
      <c r="C10" s="26">
        <v>479076</v>
      </c>
      <c r="D10" s="9" t="s">
        <v>84</v>
      </c>
    </row>
    <row r="11" spans="1:8">
      <c r="B11" s="8" t="s">
        <v>41</v>
      </c>
      <c r="C11" s="26">
        <v>299425</v>
      </c>
      <c r="D11" s="9" t="s">
        <v>84</v>
      </c>
    </row>
    <row r="12" spans="1:8">
      <c r="C12" s="27">
        <f>SUM(C10:C11)</f>
        <v>778501</v>
      </c>
    </row>
    <row r="13" spans="1:8">
      <c r="A13" s="35" t="s">
        <v>87</v>
      </c>
    </row>
    <row r="14" spans="1:8">
      <c r="B14" s="8" t="s">
        <v>69</v>
      </c>
      <c r="C14" s="26">
        <v>48000</v>
      </c>
      <c r="D14" s="9" t="s">
        <v>85</v>
      </c>
      <c r="G14" s="28"/>
      <c r="H14" s="29"/>
    </row>
    <row r="15" spans="1:8">
      <c r="B15" s="8" t="s">
        <v>70</v>
      </c>
      <c r="C15" s="26">
        <v>750986</v>
      </c>
      <c r="D15" s="9" t="s">
        <v>85</v>
      </c>
      <c r="G15" s="28"/>
      <c r="H15" s="29"/>
    </row>
    <row r="16" spans="1:8">
      <c r="B16" s="8" t="s">
        <v>14</v>
      </c>
      <c r="C16" s="26">
        <v>105097</v>
      </c>
      <c r="D16" s="9" t="s">
        <v>85</v>
      </c>
      <c r="G16" s="28"/>
      <c r="H16" s="29"/>
    </row>
    <row r="17" spans="1:8">
      <c r="B17" s="8" t="s">
        <v>18</v>
      </c>
      <c r="C17" s="26">
        <v>57000</v>
      </c>
      <c r="D17" s="9" t="s">
        <v>85</v>
      </c>
      <c r="G17" s="28"/>
      <c r="H17" s="29"/>
    </row>
    <row r="18" spans="1:8">
      <c r="B18" s="8" t="s">
        <v>20</v>
      </c>
      <c r="C18" s="26">
        <v>122898</v>
      </c>
      <c r="D18" s="9" t="s">
        <v>85</v>
      </c>
      <c r="G18" s="28"/>
      <c r="H18" s="29"/>
    </row>
    <row r="19" spans="1:8">
      <c r="B19" s="8" t="s">
        <v>23</v>
      </c>
      <c r="C19" s="26">
        <v>506586</v>
      </c>
      <c r="D19" s="9" t="s">
        <v>85</v>
      </c>
      <c r="G19" s="28"/>
      <c r="H19" s="29"/>
    </row>
    <row r="20" spans="1:8">
      <c r="B20" s="8" t="s">
        <v>65</v>
      </c>
      <c r="C20" s="26">
        <v>890644</v>
      </c>
      <c r="D20" s="9" t="s">
        <v>85</v>
      </c>
      <c r="G20" s="28"/>
      <c r="H20" s="29"/>
    </row>
    <row r="21" spans="1:8">
      <c r="B21" s="8" t="s">
        <v>40</v>
      </c>
      <c r="C21" s="26">
        <v>433626</v>
      </c>
      <c r="D21" s="9" t="s">
        <v>85</v>
      </c>
      <c r="G21" s="28"/>
      <c r="H21" s="29"/>
    </row>
    <row r="22" spans="1:8">
      <c r="B22" s="8" t="s">
        <v>0</v>
      </c>
      <c r="C22" s="26">
        <v>56209</v>
      </c>
      <c r="D22" s="9" t="s">
        <v>85</v>
      </c>
      <c r="G22" s="28"/>
      <c r="H22" s="29"/>
    </row>
    <row r="23" spans="1:8">
      <c r="B23" s="8" t="s">
        <v>46</v>
      </c>
      <c r="C23" s="26">
        <v>1580914</v>
      </c>
      <c r="D23" s="9" t="s">
        <v>85</v>
      </c>
      <c r="G23" s="28"/>
      <c r="H23" s="29"/>
    </row>
    <row r="24" spans="1:8">
      <c r="B24" s="8" t="s">
        <v>47</v>
      </c>
      <c r="C24" s="26">
        <v>123770</v>
      </c>
      <c r="D24" s="9" t="s">
        <v>85</v>
      </c>
      <c r="G24" s="28"/>
      <c r="H24" s="29"/>
    </row>
    <row r="25" spans="1:8">
      <c r="C25" s="27">
        <f>SUM(C14:C24)</f>
        <v>4675730</v>
      </c>
      <c r="G25" s="31"/>
      <c r="H25" s="34"/>
    </row>
    <row r="26" spans="1:8">
      <c r="A26" s="35" t="s">
        <v>80</v>
      </c>
      <c r="G26" s="31"/>
      <c r="H26" s="31"/>
    </row>
    <row r="27" spans="1:8">
      <c r="B27" s="8" t="s">
        <v>5</v>
      </c>
      <c r="C27" s="26">
        <v>474705</v>
      </c>
      <c r="D27" s="9" t="s">
        <v>80</v>
      </c>
      <c r="G27" s="28"/>
      <c r="H27" s="29"/>
    </row>
    <row r="28" spans="1:8">
      <c r="B28" s="8" t="s">
        <v>7</v>
      </c>
      <c r="C28" s="26">
        <v>402267</v>
      </c>
      <c r="D28" s="9" t="s">
        <v>80</v>
      </c>
      <c r="G28" s="28"/>
      <c r="H28" s="29"/>
    </row>
    <row r="29" spans="1:8">
      <c r="B29" s="8" t="s">
        <v>11</v>
      </c>
      <c r="C29" s="26">
        <v>57942</v>
      </c>
      <c r="D29" s="9" t="s">
        <v>80</v>
      </c>
      <c r="G29" s="28"/>
      <c r="H29" s="29"/>
    </row>
    <row r="30" spans="1:8">
      <c r="B30" s="8" t="s">
        <v>12</v>
      </c>
      <c r="C30" s="26">
        <v>42035</v>
      </c>
      <c r="D30" s="9" t="s">
        <v>80</v>
      </c>
      <c r="G30" s="28"/>
      <c r="H30" s="29"/>
    </row>
    <row r="31" spans="1:8">
      <c r="B31" s="8" t="s">
        <v>13</v>
      </c>
      <c r="C31" s="26">
        <v>19380</v>
      </c>
      <c r="D31" s="9" t="s">
        <v>80</v>
      </c>
      <c r="G31" s="28"/>
      <c r="H31" s="29"/>
    </row>
    <row r="32" spans="1:8">
      <c r="B32" s="8" t="s">
        <v>17</v>
      </c>
      <c r="C32" s="26">
        <v>239029</v>
      </c>
      <c r="D32" s="9" t="s">
        <v>80</v>
      </c>
      <c r="G32" s="28"/>
      <c r="H32" s="29"/>
    </row>
    <row r="33" spans="2:8">
      <c r="B33" s="8" t="s">
        <v>19</v>
      </c>
      <c r="C33" s="26">
        <v>122455</v>
      </c>
      <c r="D33" s="9" t="s">
        <v>80</v>
      </c>
      <c r="G33" s="28"/>
      <c r="H33" s="29"/>
    </row>
    <row r="34" spans="2:8">
      <c r="B34" s="8" t="s">
        <v>21</v>
      </c>
      <c r="C34" s="26">
        <v>242617</v>
      </c>
      <c r="D34" s="9" t="s">
        <v>80</v>
      </c>
      <c r="G34" s="28"/>
      <c r="H34" s="29"/>
    </row>
    <row r="35" spans="2:8">
      <c r="B35" s="8" t="s">
        <v>22</v>
      </c>
      <c r="C35" s="26">
        <v>1566462</v>
      </c>
      <c r="D35" s="9" t="s">
        <v>80</v>
      </c>
      <c r="G35" s="28"/>
      <c r="H35" s="29"/>
    </row>
    <row r="36" spans="2:8">
      <c r="B36" s="8" t="s">
        <v>26</v>
      </c>
      <c r="C36" s="26">
        <v>1774</v>
      </c>
      <c r="D36" s="9" t="s">
        <v>80</v>
      </c>
      <c r="G36" s="28"/>
      <c r="H36" s="29"/>
    </row>
    <row r="37" spans="2:8">
      <c r="B37" s="8" t="s">
        <v>27</v>
      </c>
      <c r="C37" s="26">
        <v>132535</v>
      </c>
      <c r="D37" s="9" t="s">
        <v>80</v>
      </c>
      <c r="G37" s="28"/>
      <c r="H37" s="29"/>
    </row>
    <row r="38" spans="2:8">
      <c r="B38" s="8" t="s">
        <v>31</v>
      </c>
      <c r="C38" s="26">
        <v>129060</v>
      </c>
      <c r="D38" s="9" t="s">
        <v>80</v>
      </c>
      <c r="G38" s="28"/>
      <c r="H38" s="29"/>
    </row>
    <row r="39" spans="2:8">
      <c r="B39" s="8" t="s">
        <v>32</v>
      </c>
      <c r="C39" s="26">
        <v>704117</v>
      </c>
      <c r="D39" s="9" t="s">
        <v>80</v>
      </c>
      <c r="G39" s="28"/>
      <c r="H39" s="29"/>
    </row>
    <row r="40" spans="2:8">
      <c r="B40" s="8" t="s">
        <v>42</v>
      </c>
      <c r="C40" s="26">
        <v>548416</v>
      </c>
      <c r="D40" s="9" t="s">
        <v>80</v>
      </c>
      <c r="G40" s="28"/>
      <c r="H40" s="29"/>
    </row>
    <row r="41" spans="2:8">
      <c r="B41" s="8" t="s">
        <v>55</v>
      </c>
      <c r="C41" s="26">
        <v>254726</v>
      </c>
      <c r="D41" s="9" t="s">
        <v>80</v>
      </c>
      <c r="G41" s="28"/>
      <c r="H41" s="29"/>
    </row>
    <row r="42" spans="2:8">
      <c r="C42" s="27">
        <f>SUM(C27:C41)</f>
        <v>4937520</v>
      </c>
      <c r="G42" s="31"/>
      <c r="H42" s="34"/>
    </row>
    <row r="43" spans="2:8">
      <c r="G43" s="31"/>
      <c r="H43" s="31"/>
    </row>
    <row r="44" spans="2:8">
      <c r="G44" s="31"/>
      <c r="H44" s="31"/>
    </row>
    <row r="45" spans="2:8">
      <c r="G45" s="31"/>
      <c r="H45" s="31"/>
    </row>
    <row r="46" spans="2:8">
      <c r="G46" s="31"/>
      <c r="H46" s="31"/>
    </row>
    <row r="47" spans="2:8">
      <c r="G47" s="31"/>
      <c r="H47" s="31"/>
    </row>
    <row r="48" spans="2:8">
      <c r="G48" s="31"/>
      <c r="H48" s="31"/>
    </row>
    <row r="49" spans="7:8">
      <c r="G49" s="31"/>
      <c r="H49" s="31"/>
    </row>
    <row r="50" spans="7:8">
      <c r="G50" s="31"/>
      <c r="H50" s="31"/>
    </row>
    <row r="51" spans="7:8">
      <c r="G51" s="31"/>
      <c r="H51" s="31"/>
    </row>
    <row r="52" spans="7:8">
      <c r="G52" s="31"/>
      <c r="H52" s="31"/>
    </row>
  </sheetData>
  <mergeCells count="3">
    <mergeCell ref="A1:H1"/>
    <mergeCell ref="A2:H2"/>
    <mergeCell ref="A3:H3"/>
  </mergeCells>
  <pageMargins left="0.7" right="0.7" top="0.75" bottom="0.75" header="0.3" footer="0.3"/>
  <pageSetup orientation="portrait" horizontalDpi="120" verticalDpi="144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C13"/>
  <sheetViews>
    <sheetView tabSelected="1" workbookViewId="0">
      <selection activeCell="I8" sqref="I8"/>
    </sheetView>
  </sheetViews>
  <sheetFormatPr defaultRowHeight="15"/>
  <cols>
    <col min="1" max="1" width="18.7109375" customWidth="1"/>
    <col min="2" max="2" width="35" customWidth="1"/>
    <col min="3" max="3" width="40.140625" customWidth="1"/>
  </cols>
  <sheetData>
    <row r="2" spans="1:3" ht="32.25" customHeight="1">
      <c r="A2" s="56" t="s">
        <v>100</v>
      </c>
      <c r="B2" s="56"/>
      <c r="C2" s="56"/>
    </row>
    <row r="5" spans="1:3" ht="15.75">
      <c r="A5" s="53" t="s">
        <v>99</v>
      </c>
      <c r="B5" s="54"/>
      <c r="C5" s="55"/>
    </row>
    <row r="7" spans="1:3" ht="67.5" customHeight="1">
      <c r="A7" s="42" t="s">
        <v>91</v>
      </c>
      <c r="B7" s="42" t="s">
        <v>92</v>
      </c>
      <c r="C7" s="43" t="s">
        <v>93</v>
      </c>
    </row>
    <row r="8" spans="1:3" ht="15.75">
      <c r="A8" s="40" t="s">
        <v>94</v>
      </c>
      <c r="B8" s="41">
        <v>3836366</v>
      </c>
      <c r="C8" s="41">
        <v>3528267</v>
      </c>
    </row>
    <row r="9" spans="1:3" ht="15.75">
      <c r="A9" s="40" t="s">
        <v>95</v>
      </c>
      <c r="B9" s="41">
        <v>4780487</v>
      </c>
      <c r="C9" s="41">
        <v>4417806</v>
      </c>
    </row>
    <row r="10" spans="1:3" ht="15.75">
      <c r="A10" s="40" t="s">
        <v>96</v>
      </c>
      <c r="B10" s="41">
        <v>5605705</v>
      </c>
      <c r="C10" s="41">
        <v>4253820</v>
      </c>
    </row>
    <row r="11" spans="1:3" ht="15.75">
      <c r="A11" s="40" t="s">
        <v>97</v>
      </c>
      <c r="B11" s="41">
        <v>5739747</v>
      </c>
      <c r="C11" s="41">
        <v>4250674</v>
      </c>
    </row>
    <row r="12" spans="1:3" ht="19.5" customHeight="1">
      <c r="A12" s="40" t="s">
        <v>98</v>
      </c>
      <c r="B12" s="41">
        <v>6503749</v>
      </c>
      <c r="C12" s="41">
        <v>4795242</v>
      </c>
    </row>
    <row r="13" spans="1:3" ht="27" customHeight="1"/>
  </sheetData>
  <mergeCells count="2">
    <mergeCell ref="A5:C5"/>
    <mergeCell ref="A2:C2"/>
  </mergeCells>
  <pageMargins left="0" right="0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13-14</vt:lpstr>
      <vt:lpstr>14-15</vt:lpstr>
      <vt:lpstr>15-16</vt:lpstr>
      <vt:lpstr>16-17</vt:lpstr>
      <vt:lpstr>17-18</vt:lpstr>
      <vt:lpstr>18-19</vt:lpstr>
      <vt:lpstr>Catagorised 17 18 Data</vt:lpstr>
      <vt:lpstr>Catagorised 16 17 Data</vt:lpstr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2020-01-17T04:45:12Z</dcterms:modified>
</cp:coreProperties>
</file>